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SHIBA\cha4mot\www\finance\"/>
    </mc:Choice>
  </mc:AlternateContent>
  <bookViews>
    <workbookView xWindow="120" yWindow="60" windowWidth="15180" windowHeight="9348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7" i="1" l="1"/>
  <c r="E22" i="1"/>
  <c r="E23" i="1"/>
  <c r="E24" i="1"/>
  <c r="E21" i="1"/>
  <c r="F20" i="1"/>
  <c r="J7" i="1"/>
  <c r="J8" i="1"/>
  <c r="J9" i="1"/>
  <c r="J10" i="1"/>
  <c r="J11" i="1"/>
  <c r="C17" i="1"/>
  <c r="G8" i="1"/>
  <c r="G9" i="1"/>
  <c r="G10" i="1"/>
  <c r="G11" i="1"/>
  <c r="G12" i="1"/>
  <c r="K12" i="1"/>
  <c r="I13" i="1"/>
  <c r="C20" i="1"/>
  <c r="D20" i="1"/>
  <c r="C21" i="1"/>
  <c r="D21" i="1"/>
  <c r="C22" i="1"/>
  <c r="D22" i="1"/>
  <c r="C23" i="1"/>
  <c r="D23" i="1"/>
  <c r="C24" i="1"/>
  <c r="D24" i="1"/>
  <c r="D25" i="1"/>
  <c r="I8" i="1"/>
  <c r="F21" i="1"/>
  <c r="G20" i="1"/>
  <c r="F22" i="1"/>
  <c r="G21" i="1"/>
  <c r="I9" i="1"/>
  <c r="I21" i="1"/>
  <c r="I10" i="1"/>
  <c r="E25" i="1"/>
  <c r="I12" i="1"/>
  <c r="F23" i="1"/>
  <c r="G22" i="1"/>
  <c r="I22" i="1"/>
  <c r="F24" i="1"/>
  <c r="I11" i="1"/>
  <c r="G23" i="1"/>
  <c r="I23" i="1"/>
  <c r="F25" i="1"/>
  <c r="L8" i="1"/>
  <c r="K8" i="1"/>
  <c r="L10" i="1"/>
  <c r="K10" i="1"/>
  <c r="L11" i="1"/>
  <c r="K11" i="1"/>
  <c r="L9" i="1"/>
  <c r="K9" i="1"/>
  <c r="G24" i="1"/>
  <c r="I24" i="1"/>
  <c r="L7" i="1"/>
  <c r="K7" i="1"/>
  <c r="L12" i="1"/>
  <c r="K22" i="1"/>
  <c r="L22" i="1"/>
  <c r="K20" i="1"/>
  <c r="L20" i="1"/>
  <c r="K21" i="1"/>
  <c r="L21" i="1"/>
  <c r="K23" i="1"/>
  <c r="L23" i="1"/>
  <c r="K24" i="1"/>
  <c r="L24" i="1"/>
  <c r="K13" i="1"/>
  <c r="K16" i="1"/>
</calcChain>
</file>

<file path=xl/sharedStrings.xml><?xml version="1.0" encoding="utf-8"?>
<sst xmlns="http://schemas.openxmlformats.org/spreadsheetml/2006/main" count="54" uniqueCount="38">
  <si>
    <t>Capitalization</t>
  </si>
  <si>
    <t>Shares</t>
  </si>
  <si>
    <t>Share Price</t>
  </si>
  <si>
    <t>Month</t>
  </si>
  <si>
    <t>ANGEL CAPITAL</t>
  </si>
  <si>
    <t>Meaningless</t>
  </si>
  <si>
    <t>Dilution</t>
  </si>
  <si>
    <t>Amount Raised</t>
  </si>
  <si>
    <t>Investor</t>
  </si>
  <si>
    <t>(return/yr.)</t>
  </si>
  <si>
    <t>(return/mo.)</t>
  </si>
  <si>
    <t>(/month)</t>
  </si>
  <si>
    <t>(/year)</t>
  </si>
  <si>
    <t>VENTURE CAPITAL (FIRST)</t>
  </si>
  <si>
    <t>VENTURE CAPITAL (SECOND)</t>
  </si>
  <si>
    <t>(total)</t>
  </si>
  <si>
    <t>= options</t>
  </si>
  <si>
    <t>= cross-check</t>
  </si>
  <si>
    <t>BRIDGE FINANCING</t>
  </si>
  <si>
    <t>FOUNDERS, FAMILY &amp; FRIENDS</t>
  </si>
  <si>
    <t>A</t>
  </si>
  <si>
    <t>G</t>
  </si>
  <si>
    <t>R</t>
  </si>
  <si>
    <t>E</t>
  </si>
  <si>
    <t>P</t>
  </si>
  <si>
    <t>S</t>
  </si>
  <si>
    <t>H</t>
  </si>
  <si>
    <t>ROUND OF CAPITAL RAISING</t>
  </si>
  <si>
    <t>ROI to IPO</t>
  </si>
  <si>
    <t>Not Meaningful</t>
  </si>
  <si>
    <t xml:space="preserve">Founders … </t>
  </si>
  <si>
    <t>(est./mo.)</t>
  </si>
  <si>
    <t>INITIAL PUBLIC OFFERING  (IPO)</t>
  </si>
  <si>
    <t>RETURN ON INVESTMENT (ROI) to next ROUND</t>
  </si>
  <si>
    <t>Net Burn Rate</t>
  </si>
  <si>
    <t xml:space="preserve">T </t>
  </si>
  <si>
    <t>(return by round)</t>
  </si>
  <si>
    <t>(multiple by round)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</si>
</sst>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73" formatCode="_(* #,##0_);_(* \(#,##0\);_(* &quot;-&quot;??_);_(@_)"/>
    <numFmt numFmtId="175" formatCode="_(&quot;$&quot;* #,##0_);_(&quot;$&quot;* \(#,##0\);_(&quot;$&quot;* &quot;-&quot;??_);_(@_)"/>
    <numFmt numFmtId="176" formatCode="0.0%"/>
    <numFmt numFmtId="187" formatCode="&quot;(incl.&quot;\ ##,##0\ &quot;options/mo.)&quot;"/>
    <numFmt numFmtId="188" formatCode="&quot;INITIAL PUBLIC OFFERING  (&quot;#,###&quot;x split)&quot;"/>
    <numFmt numFmtId="189" formatCode="#,##0.0\ %&quot;   &quot;"/>
    <numFmt numFmtId="193" formatCode="&quot;   &quot;&quot;$&quot;* \ \ \ ###,##0&quot;  &quot;"/>
    <numFmt numFmtId="195" formatCode="#,###,##0.0&quot;   &quot;"/>
    <numFmt numFmtId="200" formatCode="&quot;   &quot;&quot;$&quot;* \ \ ###,###,##0&quot;  &quot;"/>
    <numFmt numFmtId="201" formatCode="&quot;       &quot;&quot;$&quot;* \ \ ###,###,##0&quot;  &quot;"/>
    <numFmt numFmtId="202" formatCode="&quot;       &quot;&quot;$&quot;* \ \ #,##0.00&quot;  &quot;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10"/>
      <name val="Arial"/>
      <family val="2"/>
    </font>
    <font>
      <b/>
      <sz val="10"/>
      <color rgb="FF1919C8"/>
      <name val="Arial"/>
      <family val="2"/>
    </font>
    <font>
      <b/>
      <sz val="9"/>
      <color rgb="FF1919C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5" fontId="0" fillId="0" borderId="0" xfId="2" applyNumberFormat="1" applyFont="1" applyAlignment="1">
      <alignment vertical="center"/>
    </xf>
    <xf numFmtId="175" fontId="2" fillId="0" borderId="0" xfId="2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175" fontId="2" fillId="0" borderId="0" xfId="2" applyNumberFormat="1" applyFont="1" applyAlignment="1">
      <alignment horizontal="center" vertical="center"/>
    </xf>
    <xf numFmtId="173" fontId="0" fillId="0" borderId="0" xfId="1" applyNumberFormat="1" applyFont="1" applyAlignment="1">
      <alignment vertical="center"/>
    </xf>
    <xf numFmtId="9" fontId="0" fillId="0" borderId="0" xfId="3" applyFont="1" applyAlignment="1">
      <alignment horizontal="right" vertical="center"/>
    </xf>
    <xf numFmtId="9" fontId="0" fillId="0" borderId="0" xfId="3" applyFont="1" applyAlignment="1">
      <alignment vertical="center"/>
    </xf>
    <xf numFmtId="9" fontId="0" fillId="0" borderId="0" xfId="0" applyNumberFormat="1" applyAlignment="1">
      <alignment horizontal="right" vertical="center"/>
    </xf>
    <xf numFmtId="0" fontId="6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173" fontId="9" fillId="2" borderId="0" xfId="1" applyNumberFormat="1" applyFont="1" applyFill="1" applyAlignment="1">
      <alignment vertical="center"/>
    </xf>
    <xf numFmtId="175" fontId="9" fillId="2" borderId="0" xfId="2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73" fontId="6" fillId="2" borderId="1" xfId="1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75" fontId="6" fillId="2" borderId="1" xfId="2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73" fontId="2" fillId="2" borderId="0" xfId="1" applyNumberFormat="1" applyFont="1" applyFill="1" applyAlignment="1">
      <alignment horizontal="center" vertical="center"/>
    </xf>
    <xf numFmtId="0" fontId="2" fillId="2" borderId="0" xfId="0" quotePrefix="1" applyFont="1" applyFill="1" applyAlignment="1">
      <alignment horizontal="center" vertical="center"/>
    </xf>
    <xf numFmtId="175" fontId="2" fillId="2" borderId="0" xfId="2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73" fontId="2" fillId="2" borderId="0" xfId="1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175" fontId="2" fillId="2" borderId="0" xfId="2" quotePrefix="1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5" fontId="2" fillId="2" borderId="0" xfId="2" applyNumberFormat="1" applyFont="1" applyFill="1" applyAlignment="1">
      <alignment vertical="center"/>
    </xf>
    <xf numFmtId="6" fontId="3" fillId="2" borderId="0" xfId="0" applyNumberFormat="1" applyFont="1" applyFill="1" applyAlignment="1">
      <alignment vertical="center"/>
    </xf>
    <xf numFmtId="9" fontId="2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200" fontId="10" fillId="2" borderId="0" xfId="1" applyNumberFormat="1" applyFont="1" applyFill="1" applyAlignment="1">
      <alignment vertical="center"/>
    </xf>
    <xf numFmtId="189" fontId="2" fillId="2" borderId="0" xfId="0" applyNumberFormat="1" applyFont="1" applyFill="1" applyAlignment="1">
      <alignment vertical="center"/>
    </xf>
    <xf numFmtId="189" fontId="2" fillId="2" borderId="0" xfId="2" applyNumberFormat="1" applyFont="1" applyFill="1" applyAlignment="1">
      <alignment vertical="center"/>
    </xf>
    <xf numFmtId="193" fontId="2" fillId="2" borderId="0" xfId="2" applyNumberFormat="1" applyFont="1" applyFill="1" applyAlignment="1">
      <alignment vertical="center"/>
    </xf>
    <xf numFmtId="200" fontId="2" fillId="2" borderId="0" xfId="1" applyNumberFormat="1" applyFont="1" applyFill="1" applyAlignment="1">
      <alignment vertical="center"/>
    </xf>
    <xf numFmtId="195" fontId="2" fillId="2" borderId="0" xfId="1" applyNumberFormat="1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189" fontId="2" fillId="2" borderId="0" xfId="3" applyNumberFormat="1" applyFont="1" applyFill="1" applyAlignment="1">
      <alignment vertical="center"/>
    </xf>
    <xf numFmtId="173" fontId="6" fillId="2" borderId="0" xfId="1" applyNumberFormat="1" applyFont="1" applyFill="1" applyAlignment="1">
      <alignment vertical="center"/>
    </xf>
    <xf numFmtId="9" fontId="2" fillId="2" borderId="0" xfId="3" applyFont="1" applyFill="1" applyAlignment="1">
      <alignment horizontal="center" vertical="center"/>
    </xf>
    <xf numFmtId="195" fontId="2" fillId="2" borderId="0" xfId="1" applyNumberFormat="1" applyFont="1" applyFill="1" applyAlignment="1">
      <alignment horizontal="right" vertical="center"/>
    </xf>
    <xf numFmtId="200" fontId="8" fillId="2" borderId="0" xfId="1" applyNumberFormat="1" applyFont="1" applyFill="1" applyAlignment="1">
      <alignment vertical="center"/>
    </xf>
    <xf numFmtId="0" fontId="3" fillId="2" borderId="0" xfId="0" quotePrefix="1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73" fontId="7" fillId="2" borderId="1" xfId="1" applyNumberFormat="1" applyFont="1" applyFill="1" applyBorder="1" applyAlignment="1">
      <alignment vertical="center"/>
    </xf>
    <xf numFmtId="175" fontId="2" fillId="2" borderId="1" xfId="2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6" fontId="3" fillId="2" borderId="1" xfId="0" applyNumberFormat="1" applyFont="1" applyFill="1" applyBorder="1" applyAlignment="1">
      <alignment vertical="center"/>
    </xf>
    <xf numFmtId="0" fontId="3" fillId="2" borderId="1" xfId="0" quotePrefix="1" applyFont="1" applyFill="1" applyBorder="1" applyAlignment="1">
      <alignment vertical="center"/>
    </xf>
    <xf numFmtId="173" fontId="7" fillId="2" borderId="0" xfId="1" applyNumberFormat="1" applyFont="1" applyFill="1" applyAlignment="1">
      <alignment vertical="center"/>
    </xf>
    <xf numFmtId="175" fontId="3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73" fontId="3" fillId="2" borderId="0" xfId="1" applyNumberFormat="1" applyFont="1" applyFill="1" applyAlignment="1">
      <alignment vertical="center"/>
    </xf>
    <xf numFmtId="173" fontId="10" fillId="2" borderId="0" xfId="1" applyNumberFormat="1" applyFont="1" applyFill="1" applyAlignment="1">
      <alignment vertical="center"/>
    </xf>
    <xf numFmtId="202" fontId="2" fillId="2" borderId="0" xfId="2" applyNumberFormat="1" applyFont="1" applyFill="1" applyAlignment="1">
      <alignment vertical="center"/>
    </xf>
    <xf numFmtId="188" fontId="4" fillId="2" borderId="0" xfId="0" applyNumberFormat="1" applyFont="1" applyFill="1" applyAlignment="1">
      <alignment vertical="center"/>
    </xf>
    <xf numFmtId="173" fontId="2" fillId="2" borderId="1" xfId="1" applyNumberFormat="1" applyFont="1" applyFill="1" applyBorder="1" applyAlignment="1">
      <alignment vertical="center"/>
    </xf>
    <xf numFmtId="44" fontId="2" fillId="2" borderId="0" xfId="0" quotePrefix="1" applyNumberFormat="1" applyFont="1" applyFill="1" applyAlignment="1">
      <alignment vertical="center"/>
    </xf>
    <xf numFmtId="175" fontId="6" fillId="2" borderId="0" xfId="2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176" fontId="2" fillId="2" borderId="0" xfId="3" applyNumberFormat="1" applyFont="1" applyFill="1" applyAlignment="1">
      <alignment horizontal="center" vertical="center"/>
    </xf>
    <xf numFmtId="173" fontId="11" fillId="2" borderId="0" xfId="1" applyNumberFormat="1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quotePrefix="1" applyFont="1" applyFill="1" applyAlignment="1">
      <alignment horizontal="center" vertical="center"/>
    </xf>
    <xf numFmtId="189" fontId="2" fillId="2" borderId="0" xfId="3" applyNumberFormat="1" applyFont="1" applyFill="1" applyAlignment="1">
      <alignment horizontal="right" vertical="center"/>
    </xf>
    <xf numFmtId="175" fontId="2" fillId="2" borderId="0" xfId="2" applyNumberFormat="1" applyFont="1" applyFill="1" applyAlignment="1">
      <alignment horizontal="center" vertical="center"/>
    </xf>
    <xf numFmtId="187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201" fontId="2" fillId="2" borderId="0" xfId="1" applyNumberFormat="1" applyFont="1" applyFill="1" applyAlignment="1">
      <alignment vertical="center"/>
    </xf>
    <xf numFmtId="189" fontId="2" fillId="2" borderId="0" xfId="3" applyNumberFormat="1" applyFont="1" applyFill="1" applyAlignment="1">
      <alignment horizontal="center" vertical="center"/>
    </xf>
    <xf numFmtId="175" fontId="2" fillId="2" borderId="0" xfId="2" applyNumberFormat="1" applyFont="1" applyFill="1" applyAlignment="1">
      <alignment horizontal="right" vertical="center"/>
    </xf>
    <xf numFmtId="9" fontId="2" fillId="2" borderId="0" xfId="3" applyFont="1" applyFill="1" applyAlignment="1">
      <alignment horizontal="center" vertical="center"/>
    </xf>
    <xf numFmtId="0" fontId="0" fillId="2" borderId="2" xfId="0" applyFill="1" applyBorder="1" applyAlignment="1">
      <alignment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Normal="100" workbookViewId="0">
      <selection activeCell="E28" sqref="E28"/>
    </sheetView>
  </sheetViews>
  <sheetFormatPr defaultRowHeight="13.2" x14ac:dyDescent="0.25"/>
  <cols>
    <col min="1" max="1" width="8.88671875" style="3"/>
    <col min="2" max="2" width="8.88671875" style="7"/>
    <col min="3" max="3" width="31.5546875" style="1" customWidth="1"/>
    <col min="4" max="4" width="8.6640625" style="2" customWidth="1"/>
    <col min="5" max="5" width="17.88671875" style="9" customWidth="1"/>
    <col min="6" max="6" width="15.77734375" style="3" customWidth="1"/>
    <col min="7" max="7" width="6.77734375" style="3" customWidth="1"/>
    <col min="8" max="8" width="15.77734375" style="4" customWidth="1"/>
    <col min="9" max="12" width="16.77734375" style="3" customWidth="1"/>
    <col min="13" max="13" width="10.6640625" style="13" customWidth="1"/>
    <col min="14" max="14" width="10.6640625" style="5" customWidth="1"/>
    <col min="15" max="15" width="10.6640625" style="6" customWidth="1"/>
    <col min="16" max="16" width="10.6640625" style="3" customWidth="1"/>
    <col min="17" max="16384" width="8.88671875" style="3"/>
  </cols>
  <sheetData>
    <row r="1" spans="1:16" ht="15" customHeight="1" x14ac:dyDescent="0.25">
      <c r="A1" s="15"/>
      <c r="B1" s="14"/>
      <c r="C1" s="16"/>
      <c r="D1" s="17"/>
      <c r="E1" s="18"/>
      <c r="F1" s="15"/>
      <c r="G1" s="15"/>
      <c r="H1" s="19"/>
      <c r="I1" s="15"/>
      <c r="J1" s="15"/>
      <c r="K1" s="15"/>
      <c r="L1" s="15"/>
      <c r="M1" s="20"/>
    </row>
    <row r="2" spans="1:16" ht="15" customHeight="1" x14ac:dyDescent="0.25">
      <c r="A2" s="15"/>
      <c r="B2" s="21"/>
      <c r="C2" s="22"/>
      <c r="D2" s="21"/>
      <c r="E2" s="23"/>
      <c r="F2" s="24"/>
      <c r="G2" s="24"/>
      <c r="H2" s="25"/>
      <c r="I2" s="24"/>
      <c r="J2" s="24"/>
      <c r="K2" s="24"/>
      <c r="L2" s="24"/>
      <c r="M2" s="20"/>
    </row>
    <row r="3" spans="1:16" ht="15" customHeight="1" x14ac:dyDescent="0.25">
      <c r="A3" s="15"/>
      <c r="B3" s="14"/>
      <c r="C3" s="26"/>
      <c r="D3" s="17"/>
      <c r="E3" s="18"/>
      <c r="F3" s="15"/>
      <c r="G3" s="84"/>
      <c r="H3" s="84"/>
      <c r="I3" s="15"/>
      <c r="J3" s="15"/>
      <c r="K3" s="15"/>
      <c r="L3" s="15"/>
      <c r="M3" s="20"/>
    </row>
    <row r="4" spans="1:16" s="2" customFormat="1" ht="19.95" customHeight="1" x14ac:dyDescent="0.25">
      <c r="A4" s="17"/>
      <c r="B4" s="73" t="s">
        <v>20</v>
      </c>
      <c r="C4" s="14" t="s">
        <v>27</v>
      </c>
      <c r="D4" s="14" t="s">
        <v>3</v>
      </c>
      <c r="E4" s="27" t="s">
        <v>7</v>
      </c>
      <c r="F4" s="14" t="s">
        <v>6</v>
      </c>
      <c r="G4" s="76" t="s">
        <v>0</v>
      </c>
      <c r="H4" s="76"/>
      <c r="I4" s="28" t="s">
        <v>30</v>
      </c>
      <c r="J4" s="29" t="s">
        <v>34</v>
      </c>
      <c r="K4" s="14" t="s">
        <v>8</v>
      </c>
      <c r="L4" s="14" t="s">
        <v>8</v>
      </c>
      <c r="M4" s="30"/>
      <c r="O4" s="6"/>
    </row>
    <row r="5" spans="1:16" ht="15" customHeight="1" x14ac:dyDescent="0.25">
      <c r="A5" s="15"/>
      <c r="B5" s="73" t="s">
        <v>21</v>
      </c>
      <c r="C5" s="26"/>
      <c r="D5" s="14"/>
      <c r="E5" s="31"/>
      <c r="F5" s="32"/>
      <c r="G5" s="77">
        <v>100</v>
      </c>
      <c r="H5" s="77"/>
      <c r="I5" s="15"/>
      <c r="J5" s="33" t="s">
        <v>31</v>
      </c>
      <c r="K5" s="14" t="s">
        <v>36</v>
      </c>
      <c r="L5" s="14" t="s">
        <v>37</v>
      </c>
      <c r="M5" s="20"/>
      <c r="P5" s="2"/>
    </row>
    <row r="6" spans="1:16" ht="15" customHeight="1" x14ac:dyDescent="0.25">
      <c r="A6" s="15"/>
      <c r="B6" s="73" t="s">
        <v>21</v>
      </c>
      <c r="C6" s="26"/>
      <c r="D6" s="14"/>
      <c r="E6" s="31"/>
      <c r="F6" s="32"/>
      <c r="G6" s="79"/>
      <c r="H6" s="79"/>
      <c r="I6" s="34">
        <v>100</v>
      </c>
      <c r="J6" s="35"/>
      <c r="K6" s="36"/>
      <c r="L6" s="37"/>
      <c r="M6" s="38"/>
    </row>
    <row r="7" spans="1:16" ht="19.95" customHeight="1" x14ac:dyDescent="0.25">
      <c r="A7" s="15"/>
      <c r="B7" s="73" t="s">
        <v>22</v>
      </c>
      <c r="C7" s="26" t="s">
        <v>19</v>
      </c>
      <c r="D7" s="14">
        <v>0</v>
      </c>
      <c r="E7" s="39">
        <v>50000</v>
      </c>
      <c r="F7" s="40">
        <v>1</v>
      </c>
      <c r="G7" s="80">
        <f>E7/(F7)</f>
        <v>50000</v>
      </c>
      <c r="H7" s="80"/>
      <c r="I7" s="41">
        <v>1</v>
      </c>
      <c r="J7" s="42">
        <f>ROUNDDOWN(E7/(150%*(D8-D7)),-3)</f>
        <v>11000</v>
      </c>
      <c r="K7" s="43">
        <f>L7*E7</f>
        <v>23972830.804303963</v>
      </c>
      <c r="L7" s="44">
        <f>$F$25*$C$25/F20</f>
        <v>479.45661608607924</v>
      </c>
      <c r="M7" s="38"/>
      <c r="P7" s="6"/>
    </row>
    <row r="8" spans="1:16" ht="19.95" customHeight="1" x14ac:dyDescent="0.25">
      <c r="A8" s="15"/>
      <c r="B8" s="73" t="s">
        <v>23</v>
      </c>
      <c r="C8" s="26" t="s">
        <v>4</v>
      </c>
      <c r="D8" s="45">
        <v>3</v>
      </c>
      <c r="E8" s="39">
        <v>500000</v>
      </c>
      <c r="F8" s="40">
        <v>0.33333333329999998</v>
      </c>
      <c r="G8" s="80">
        <f>E8/(F8)</f>
        <v>1500000.0001500002</v>
      </c>
      <c r="H8" s="80"/>
      <c r="I8" s="46">
        <f>($E$20+($I$6*(D9-D7)))/($E21)</f>
        <v>0.72491909388737874</v>
      </c>
      <c r="J8" s="42">
        <f>ROUNDDOWN(E8/(150%*(D9-D8)),-3)</f>
        <v>37000</v>
      </c>
      <c r="K8" s="43">
        <f>L8*E8</f>
        <v>12346007.862364637</v>
      </c>
      <c r="L8" s="44">
        <f>$F$25*$C$25/F21</f>
        <v>24.692015724729274</v>
      </c>
      <c r="M8" s="47"/>
      <c r="O8" s="10"/>
      <c r="P8" s="10"/>
    </row>
    <row r="9" spans="1:16" ht="19.95" customHeight="1" x14ac:dyDescent="0.25">
      <c r="A9" s="15"/>
      <c r="B9" s="73" t="s">
        <v>21</v>
      </c>
      <c r="C9" s="26" t="s">
        <v>13</v>
      </c>
      <c r="D9" s="45">
        <v>12</v>
      </c>
      <c r="E9" s="39">
        <v>2500000</v>
      </c>
      <c r="F9" s="40">
        <v>0.4</v>
      </c>
      <c r="G9" s="80">
        <f>E9/(F9)</f>
        <v>6250000</v>
      </c>
      <c r="H9" s="80"/>
      <c r="I9" s="46">
        <f>($E$20+($I$6*(D9-D7))+($I$6*(D10-D9)))/($E22)</f>
        <v>0.45504587158113297</v>
      </c>
      <c r="J9" s="42">
        <f>ROUNDDOWN(E9/(150%*(D10-D9)),-3)</f>
        <v>138000</v>
      </c>
      <c r="K9" s="43">
        <f>L9*E9</f>
        <v>26130385.575456712</v>
      </c>
      <c r="L9" s="44">
        <f>$F$25*$C$25/F22</f>
        <v>10.452154230182686</v>
      </c>
      <c r="M9" s="47"/>
      <c r="O9" s="10"/>
      <c r="P9" s="11"/>
    </row>
    <row r="10" spans="1:16" ht="19.95" customHeight="1" x14ac:dyDescent="0.25">
      <c r="A10" s="15"/>
      <c r="B10" s="73" t="s">
        <v>20</v>
      </c>
      <c r="C10" s="26" t="s">
        <v>14</v>
      </c>
      <c r="D10" s="45">
        <v>24</v>
      </c>
      <c r="E10" s="39">
        <v>4500000</v>
      </c>
      <c r="F10" s="40">
        <v>0.2</v>
      </c>
      <c r="G10" s="80">
        <f>E10/(F10)</f>
        <v>22500000</v>
      </c>
      <c r="H10" s="80"/>
      <c r="I10" s="46">
        <f>($E$20+($I$6*(D9-D7))+($I$6*(D10-D9))+($I$6*(D11-D10)))/($E23)</f>
        <v>0.39929701232035492</v>
      </c>
      <c r="J10" s="42">
        <f>ROUNDDOWN(E10/(150%*(D11-D10)),-3)</f>
        <v>166000</v>
      </c>
      <c r="K10" s="43">
        <f>L10*E10</f>
        <v>17050675.908789564</v>
      </c>
      <c r="L10" s="44">
        <f>$F$25*$C$25/F23</f>
        <v>3.7890390908421252</v>
      </c>
      <c r="M10" s="47"/>
      <c r="O10" s="10"/>
      <c r="P10" s="11"/>
    </row>
    <row r="11" spans="1:16" ht="19.95" customHeight="1" x14ac:dyDescent="0.25">
      <c r="A11" s="15"/>
      <c r="B11" s="74" t="s">
        <v>35</v>
      </c>
      <c r="C11" s="26" t="s">
        <v>18</v>
      </c>
      <c r="D11" s="45">
        <v>42</v>
      </c>
      <c r="E11" s="39">
        <v>7500000</v>
      </c>
      <c r="F11" s="40">
        <v>0.1</v>
      </c>
      <c r="G11" s="80">
        <f>E11/(F11)</f>
        <v>75000000</v>
      </c>
      <c r="H11" s="80"/>
      <c r="I11" s="46">
        <f>($E$20+($I$6*(D9-D7))+($I$6*(D10-D9))+($I$6*(D11-D10))+($I$6*(D12-D11)))/($E24)</f>
        <v>0.35650719305650735</v>
      </c>
      <c r="J11" s="42">
        <f>ROUNDDOWN(E11/(150%*(D12-D11)),-3)</f>
        <v>833000</v>
      </c>
      <c r="K11" s="43">
        <f>L11*E11</f>
        <v>9952054.3431913927</v>
      </c>
      <c r="L11" s="44">
        <f>$F$25*$C$25/F24</f>
        <v>1.3269405790921858</v>
      </c>
      <c r="M11" s="47"/>
      <c r="O11" s="10"/>
      <c r="P11" s="11"/>
    </row>
    <row r="12" spans="1:16" ht="19.95" customHeight="1" x14ac:dyDescent="0.25">
      <c r="A12" s="15"/>
      <c r="B12" s="73" t="s">
        <v>23</v>
      </c>
      <c r="C12" s="26" t="s">
        <v>32</v>
      </c>
      <c r="D12" s="45">
        <v>48</v>
      </c>
      <c r="E12" s="39">
        <v>20000000</v>
      </c>
      <c r="F12" s="40">
        <v>0.16666666660000001</v>
      </c>
      <c r="G12" s="80">
        <f>E12/F12</f>
        <v>120000000.04799999</v>
      </c>
      <c r="H12" s="80"/>
      <c r="I12" s="46">
        <f>($E$20+($I$6*(D9-D7))+($I$6*(D10-D9))+($I$6*(D11-D10))+($I$6*(D12-D11))+($I$6*(D13-D12)))/($E25/C25)</f>
        <v>0.1997735899559569</v>
      </c>
      <c r="J12" s="48" t="s">
        <v>5</v>
      </c>
      <c r="K12" s="43">
        <f>1*E12</f>
        <v>20000000</v>
      </c>
      <c r="L12" s="49">
        <f>$F$25*C25/(F25*C25)</f>
        <v>1</v>
      </c>
      <c r="M12" s="47"/>
      <c r="O12" s="10"/>
      <c r="P12" s="11"/>
    </row>
    <row r="13" spans="1:16" ht="15" customHeight="1" x14ac:dyDescent="0.25">
      <c r="A13" s="15"/>
      <c r="B13" s="15"/>
      <c r="C13" s="26"/>
      <c r="D13" s="14"/>
      <c r="E13" s="50"/>
      <c r="F13" s="32"/>
      <c r="G13" s="32"/>
      <c r="H13" s="35"/>
      <c r="I13" s="34">
        <f>5*$I$6</f>
        <v>500</v>
      </c>
      <c r="J13" s="34"/>
      <c r="K13" s="36">
        <f>(($I$6*(D9-D7))+($I$6*(D10-D9))+($I$6*(D11-D10))+($I$6*(D12-D11))+($I$6*(D13-D12)))*100*F25</f>
        <v>0</v>
      </c>
      <c r="L13" s="51" t="s">
        <v>16</v>
      </c>
      <c r="M13" s="20"/>
      <c r="O13" s="12"/>
      <c r="P13" s="11"/>
    </row>
    <row r="14" spans="1:16" ht="15" customHeight="1" x14ac:dyDescent="0.25">
      <c r="A14" s="15"/>
      <c r="B14" s="52"/>
      <c r="C14" s="53"/>
      <c r="D14" s="54"/>
      <c r="E14" s="55"/>
      <c r="F14" s="52"/>
      <c r="G14" s="52"/>
      <c r="H14" s="56"/>
      <c r="I14" s="57"/>
      <c r="J14" s="57"/>
      <c r="K14" s="58"/>
      <c r="L14" s="59"/>
      <c r="M14" s="20"/>
      <c r="O14" s="12"/>
      <c r="P14" s="11"/>
    </row>
    <row r="15" spans="1:16" ht="15" customHeight="1" x14ac:dyDescent="0.25">
      <c r="A15" s="15"/>
      <c r="B15" s="14"/>
      <c r="C15" s="26"/>
      <c r="D15" s="14"/>
      <c r="E15" s="60"/>
      <c r="F15" s="32"/>
      <c r="G15" s="32"/>
      <c r="H15" s="35"/>
      <c r="I15" s="34"/>
      <c r="J15" s="34"/>
      <c r="K15" s="36"/>
      <c r="L15" s="51"/>
      <c r="M15" s="20"/>
      <c r="O15" s="12"/>
      <c r="P15" s="11"/>
    </row>
    <row r="16" spans="1:16" ht="15" customHeight="1" x14ac:dyDescent="0.25">
      <c r="A16" s="15"/>
      <c r="B16" s="15"/>
      <c r="C16" s="26"/>
      <c r="D16" s="14"/>
      <c r="E16" s="31"/>
      <c r="F16" s="32"/>
      <c r="G16" s="32"/>
      <c r="H16" s="35"/>
      <c r="I16" s="32"/>
      <c r="J16" s="32"/>
      <c r="K16" s="61">
        <f>SUM(K7:K13)</f>
        <v>109451954.49410626</v>
      </c>
      <c r="L16" s="51" t="s">
        <v>17</v>
      </c>
      <c r="M16" s="20"/>
    </row>
    <row r="17" spans="1:15" s="2" customFormat="1" ht="19.95" customHeight="1" x14ac:dyDescent="0.25">
      <c r="A17" s="17"/>
      <c r="B17" s="73" t="s">
        <v>24</v>
      </c>
      <c r="C17" s="14" t="str">
        <f>C4</f>
        <v>ROUND OF CAPITAL RAISING</v>
      </c>
      <c r="D17" s="14" t="s">
        <v>3</v>
      </c>
      <c r="E17" s="27" t="s">
        <v>1</v>
      </c>
      <c r="F17" s="14" t="s">
        <v>2</v>
      </c>
      <c r="G17" s="78" t="s">
        <v>33</v>
      </c>
      <c r="H17" s="78"/>
      <c r="I17" s="78"/>
      <c r="J17" s="78"/>
      <c r="K17" s="14" t="s">
        <v>28</v>
      </c>
      <c r="L17" s="14" t="s">
        <v>28</v>
      </c>
      <c r="M17" s="30"/>
      <c r="N17" s="8"/>
    </row>
    <row r="18" spans="1:15" s="2" customFormat="1" ht="15" customHeight="1" x14ac:dyDescent="0.25">
      <c r="A18" s="17"/>
      <c r="B18" s="73" t="s">
        <v>23</v>
      </c>
      <c r="C18" s="62"/>
      <c r="D18" s="14"/>
      <c r="E18" s="27" t="s">
        <v>15</v>
      </c>
      <c r="F18" s="14"/>
      <c r="G18" s="76" t="s">
        <v>11</v>
      </c>
      <c r="H18" s="76"/>
      <c r="I18" s="78" t="s">
        <v>12</v>
      </c>
      <c r="J18" s="78"/>
      <c r="K18" s="14" t="s">
        <v>10</v>
      </c>
      <c r="L18" s="14" t="s">
        <v>9</v>
      </c>
      <c r="M18" s="30"/>
      <c r="N18" s="8"/>
    </row>
    <row r="19" spans="1:15" ht="15" customHeight="1" x14ac:dyDescent="0.25">
      <c r="A19" s="15"/>
      <c r="B19" s="73" t="s">
        <v>22</v>
      </c>
      <c r="C19" s="26"/>
      <c r="D19" s="14"/>
      <c r="E19" s="63">
        <v>10000</v>
      </c>
      <c r="F19" s="32"/>
      <c r="G19" s="82"/>
      <c r="H19" s="82"/>
      <c r="I19" s="78"/>
      <c r="J19" s="78"/>
      <c r="K19" s="32"/>
      <c r="L19" s="32"/>
      <c r="M19" s="20"/>
    </row>
    <row r="20" spans="1:15" ht="19.95" customHeight="1" x14ac:dyDescent="0.25">
      <c r="A20" s="15"/>
      <c r="B20" s="73"/>
      <c r="C20" s="26" t="str">
        <f t="shared" ref="C20:D24" si="0">C7</f>
        <v>FOUNDERS, FAMILY &amp; FRIENDS</v>
      </c>
      <c r="D20" s="14">
        <f t="shared" si="0"/>
        <v>0</v>
      </c>
      <c r="E20" s="64">
        <v>10000</v>
      </c>
      <c r="F20" s="65">
        <f t="shared" ref="F20:F25" si="1">G7/E20</f>
        <v>5</v>
      </c>
      <c r="G20" s="75">
        <f>(10^((1/($D21-$D20))*LOG($F21/$F20)))-100%</f>
        <v>1.6878039654665442</v>
      </c>
      <c r="H20" s="75"/>
      <c r="I20" s="83" t="s">
        <v>29</v>
      </c>
      <c r="J20" s="83"/>
      <c r="K20" s="46">
        <f>10^(LOG($F$25*C25/F20)/($D$12-D20))-100%</f>
        <v>0.13723166612273685</v>
      </c>
      <c r="L20" s="46">
        <f>((K20+100%)^12)-100%</f>
        <v>3.6793693810304902</v>
      </c>
      <c r="M20" s="20"/>
    </row>
    <row r="21" spans="1:15" ht="19.95" customHeight="1" x14ac:dyDescent="0.25">
      <c r="A21" s="15"/>
      <c r="B21" s="73" t="s">
        <v>25</v>
      </c>
      <c r="C21" s="26" t="str">
        <f t="shared" si="0"/>
        <v>ANGEL CAPITAL</v>
      </c>
      <c r="D21" s="14">
        <f t="shared" si="0"/>
        <v>3</v>
      </c>
      <c r="E21" s="31">
        <f>($E20+($G$5*($D21-$D20)))/(100%-$F8)</f>
        <v>15449.999999227499</v>
      </c>
      <c r="F21" s="65">
        <f t="shared" si="1"/>
        <v>97.087378655339833</v>
      </c>
      <c r="G21" s="75">
        <f>(10^((1/($D22-$D21))*LOG($F22/$F21)))-100%</f>
        <v>0.10022982861587471</v>
      </c>
      <c r="H21" s="75"/>
      <c r="I21" s="81">
        <f>((100%+$G21)^12)-100%</f>
        <v>2.1463061596850417</v>
      </c>
      <c r="J21" s="81"/>
      <c r="K21" s="46">
        <f>10^(LOG($F$25*C25/F21)/($D$12-D21))-1</f>
        <v>7.3855141906762789E-2</v>
      </c>
      <c r="L21" s="46">
        <f>((K21+100%)^12)-100%</f>
        <v>1.35151856585889</v>
      </c>
      <c r="M21" s="20"/>
    </row>
    <row r="22" spans="1:15" ht="19.95" customHeight="1" x14ac:dyDescent="0.25">
      <c r="A22" s="15"/>
      <c r="B22" s="73" t="s">
        <v>26</v>
      </c>
      <c r="C22" s="26" t="str">
        <f t="shared" si="0"/>
        <v>VENTURE CAPITAL (FIRST)</v>
      </c>
      <c r="D22" s="14">
        <f t="shared" si="0"/>
        <v>12</v>
      </c>
      <c r="E22" s="31">
        <f>($E21+($G$5*($D22-$D21)))/(100%-$F9)</f>
        <v>27249.999998712497</v>
      </c>
      <c r="F22" s="65">
        <f t="shared" si="1"/>
        <v>229.35779817597427</v>
      </c>
      <c r="G22" s="75">
        <f>(10^((1/($D23-$D22))*LOG($F23/$F22)))-100%</f>
        <v>8.823592877176023E-2</v>
      </c>
      <c r="H22" s="75"/>
      <c r="I22" s="81">
        <f>((100%+$G22)^12)-100%</f>
        <v>1.7585237258293005</v>
      </c>
      <c r="J22" s="81"/>
      <c r="K22" s="46">
        <f>10^(LOG($F$25*C25/F22)/($D$12-D22))-1</f>
        <v>6.7360858168104887E-2</v>
      </c>
      <c r="L22" s="46">
        <f>((K22+100%)^12)-100%</f>
        <v>1.1864284501315945</v>
      </c>
      <c r="M22" s="20"/>
    </row>
    <row r="23" spans="1:15" ht="19.95" customHeight="1" x14ac:dyDescent="0.25">
      <c r="A23" s="15"/>
      <c r="B23" s="73" t="s">
        <v>20</v>
      </c>
      <c r="C23" s="26" t="str">
        <f t="shared" si="0"/>
        <v>VENTURE CAPITAL (SECOND)</v>
      </c>
      <c r="D23" s="14">
        <f t="shared" si="0"/>
        <v>24</v>
      </c>
      <c r="E23" s="31">
        <f>($E22+($G$5*($D23-$D22)))/(100%-$F10)</f>
        <v>35562.499998390616</v>
      </c>
      <c r="F23" s="65">
        <f t="shared" si="1"/>
        <v>632.68892797239334</v>
      </c>
      <c r="G23" s="75">
        <f>(10^((1/($D24-$D23))*LOG($F24/$F23)))-100%</f>
        <v>6.0023327718547792E-2</v>
      </c>
      <c r="H23" s="75"/>
      <c r="I23" s="81">
        <f>((100%+$G23)^12)-100%</f>
        <v>1.0127279318542919</v>
      </c>
      <c r="J23" s="81"/>
      <c r="K23" s="46">
        <f>10^(LOG($F$25*C25/F23)/($D$12-D23))-1</f>
        <v>5.7073969844884775E-2</v>
      </c>
      <c r="L23" s="46">
        <f>((K23+100%)^12)-100%</f>
        <v>0.9465454248082994</v>
      </c>
      <c r="M23" s="20"/>
    </row>
    <row r="24" spans="1:15" ht="19.95" customHeight="1" x14ac:dyDescent="0.25">
      <c r="A24" s="15"/>
      <c r="B24" s="73" t="s">
        <v>22</v>
      </c>
      <c r="C24" s="26" t="str">
        <f t="shared" si="0"/>
        <v>BRIDGE FINANCING</v>
      </c>
      <c r="D24" s="14">
        <f t="shared" si="0"/>
        <v>42</v>
      </c>
      <c r="E24" s="31">
        <f>($E23+($G$5*($D24-$D23)))/(100%-$F11)</f>
        <v>41513.888887100686</v>
      </c>
      <c r="F24" s="65">
        <f t="shared" si="1"/>
        <v>1806.6242891377062</v>
      </c>
      <c r="G24" s="75">
        <f>(10^((1/($D25-$D24))*LOG($F25*$C$25/$F24)))-100%</f>
        <v>4.8275041865950996E-2</v>
      </c>
      <c r="H24" s="75"/>
      <c r="I24" s="81">
        <f>((100%+$G24)^12)-100%</f>
        <v>0.76077130044150332</v>
      </c>
      <c r="J24" s="81"/>
      <c r="K24" s="46">
        <f>10^(LOG($F$25*C25/F24)/($D$12-D24))-1</f>
        <v>4.8275041865950996E-2</v>
      </c>
      <c r="L24" s="46">
        <f>((K24+100%)^12)-100%</f>
        <v>0.76077130044150332</v>
      </c>
      <c r="M24" s="20"/>
    </row>
    <row r="25" spans="1:15" ht="19.95" customHeight="1" x14ac:dyDescent="0.25">
      <c r="A25" s="15"/>
      <c r="B25" s="73" t="s">
        <v>23</v>
      </c>
      <c r="C25" s="66">
        <v>200</v>
      </c>
      <c r="D25" s="14">
        <f>D12</f>
        <v>48</v>
      </c>
      <c r="E25" s="31">
        <f>($E24+($I$6*($D26-$D25)))*((100%)/(100%-$F12))*C25</f>
        <v>10011333.332103258</v>
      </c>
      <c r="F25" s="65">
        <f t="shared" si="1"/>
        <v>11.98641540215198</v>
      </c>
      <c r="G25" s="76" t="s">
        <v>5</v>
      </c>
      <c r="H25" s="76"/>
      <c r="I25" s="78" t="s">
        <v>5</v>
      </c>
      <c r="J25" s="78"/>
      <c r="K25" s="48" t="s">
        <v>5</v>
      </c>
      <c r="L25" s="48" t="s">
        <v>5</v>
      </c>
      <c r="M25" s="20"/>
    </row>
    <row r="26" spans="1:15" ht="15" customHeight="1" x14ac:dyDescent="0.25">
      <c r="A26" s="15"/>
      <c r="B26" s="54"/>
      <c r="C26" s="53"/>
      <c r="D26" s="57">
        <v>50</v>
      </c>
      <c r="E26" s="67"/>
      <c r="F26" s="52"/>
      <c r="G26" s="52"/>
      <c r="H26" s="56"/>
      <c r="I26" s="52"/>
      <c r="J26" s="52"/>
      <c r="K26" s="52"/>
      <c r="L26" s="52"/>
      <c r="M26" s="20"/>
    </row>
    <row r="27" spans="1:15" ht="15" customHeight="1" x14ac:dyDescent="0.25">
      <c r="A27" s="15"/>
      <c r="B27" s="14"/>
      <c r="C27" s="26"/>
      <c r="D27" s="14"/>
      <c r="E27" s="31"/>
      <c r="F27" s="68"/>
      <c r="G27" s="68"/>
      <c r="H27" s="69"/>
      <c r="I27" s="70"/>
      <c r="J27" s="70"/>
      <c r="K27" s="71"/>
      <c r="L27" s="48"/>
      <c r="M27" s="20"/>
      <c r="O27" s="12"/>
    </row>
    <row r="28" spans="1:15" ht="15" customHeight="1" x14ac:dyDescent="0.25">
      <c r="A28" s="15"/>
      <c r="B28" s="14"/>
      <c r="C28" s="72"/>
      <c r="D28" s="72"/>
      <c r="E28" s="18"/>
      <c r="F28" s="15"/>
      <c r="G28" s="15"/>
      <c r="H28" s="19"/>
      <c r="I28" s="15"/>
      <c r="J28" s="15"/>
      <c r="K28" s="15"/>
      <c r="L28" s="15"/>
      <c r="M28" s="20"/>
    </row>
    <row r="29" spans="1:15" ht="15" customHeight="1" x14ac:dyDescent="0.25">
      <c r="A29" s="15"/>
      <c r="B29" s="14"/>
      <c r="C29" s="16"/>
      <c r="D29" s="17"/>
      <c r="E29" s="18"/>
      <c r="F29" s="15"/>
      <c r="G29" s="15"/>
      <c r="H29" s="19"/>
      <c r="I29" s="15"/>
      <c r="J29" s="15"/>
      <c r="K29" s="15"/>
      <c r="L29" s="15"/>
      <c r="M29" s="20"/>
    </row>
  </sheetData>
  <mergeCells count="27">
    <mergeCell ref="I18:J18"/>
    <mergeCell ref="I19:J19"/>
    <mergeCell ref="I20:J20"/>
    <mergeCell ref="I21:J21"/>
    <mergeCell ref="G21:H21"/>
    <mergeCell ref="G3:H3"/>
    <mergeCell ref="G12:H12"/>
    <mergeCell ref="I22:J22"/>
    <mergeCell ref="I23:J23"/>
    <mergeCell ref="I24:J24"/>
    <mergeCell ref="I25:J25"/>
    <mergeCell ref="G4:H4"/>
    <mergeCell ref="G18:H18"/>
    <mergeCell ref="G19:H19"/>
    <mergeCell ref="G20:H20"/>
    <mergeCell ref="G10:H10"/>
    <mergeCell ref="G11:H11"/>
    <mergeCell ref="G22:H22"/>
    <mergeCell ref="G23:H23"/>
    <mergeCell ref="G24:H24"/>
    <mergeCell ref="G25:H25"/>
    <mergeCell ref="G5:H5"/>
    <mergeCell ref="G17:J17"/>
    <mergeCell ref="G6:H6"/>
    <mergeCell ref="G7:H7"/>
    <mergeCell ref="G8:H8"/>
    <mergeCell ref="G9:H9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 Technology Financing Pro-forma</dc:title>
  <dc:creator>Jim Cook</dc:creator>
  <cp:lastModifiedBy>TOSHIBA</cp:lastModifiedBy>
  <dcterms:created xsi:type="dcterms:W3CDTF">2001-12-02T16:39:43Z</dcterms:created>
  <dcterms:modified xsi:type="dcterms:W3CDTF">2015-11-24T06:58:59Z</dcterms:modified>
</cp:coreProperties>
</file>