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5240" windowHeight="9390" activeTab="7"/>
  </bookViews>
  <sheets>
    <sheet name="Summary" sheetId="1" r:id="rId1"/>
    <sheet name="2004" sheetId="2" r:id="rId2"/>
    <sheet name="2005" sheetId="3" r:id="rId3"/>
    <sheet name="2006" sheetId="4" r:id="rId4"/>
    <sheet name="Definitions" sheetId="5" r:id="rId5"/>
    <sheet name="$ Summary" sheetId="6" r:id="rId6"/>
    <sheet name="RMB Summary" sheetId="7" r:id="rId7"/>
    <sheet name="Any Summary" sheetId="8" r:id="rId8"/>
  </sheets>
  <definedNames>
    <definedName name="begin_price">'2006'!$B$68</definedName>
    <definedName name="price2002">'2006'!$E$68</definedName>
  </definedNames>
  <calcPr fullCalcOnLoad="1"/>
</workbook>
</file>

<file path=xl/sharedStrings.xml><?xml version="1.0" encoding="utf-8"?>
<sst xmlns="http://schemas.openxmlformats.org/spreadsheetml/2006/main" count="1297" uniqueCount="405">
  <si>
    <t>JAN-MARCH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</si>
  <si>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</si>
  <si>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</si>
  <si>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</si>
  <si>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</si>
  <si>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</si>
  <si>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</si>
  <si>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</si>
  <si>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</si>
  <si>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</si>
  <si>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</si>
  <si>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t>YEAR END</t>
  </si>
  <si>
    <t>1    2    3</t>
  </si>
  <si>
    <t>Number of lines</t>
  </si>
  <si>
    <t>OPERATING STATEMENT</t>
  </si>
  <si>
    <t>Revenues in US$</t>
  </si>
  <si>
    <t>Revenues</t>
  </si>
  <si>
    <t>Labor Costs - Direct</t>
  </si>
  <si>
    <t>Materials Cost</t>
  </si>
  <si>
    <t>Factory Overhead</t>
  </si>
  <si>
    <t>Gross Margin as %</t>
  </si>
  <si>
    <t>G&amp;A Expenses</t>
  </si>
  <si>
    <t>Marketing Expenses</t>
  </si>
  <si>
    <t>Engineering Expense</t>
  </si>
  <si>
    <t>Depreciation (Straight Line)</t>
  </si>
  <si>
    <t>Taxes on Profits</t>
  </si>
  <si>
    <t>NET INCOME AT in RMB</t>
  </si>
  <si>
    <t>NET INCOME AT in US$</t>
  </si>
  <si>
    <t>Net Income AT as %</t>
  </si>
  <si>
    <t>FUNDS FLOWS</t>
  </si>
  <si>
    <t>Receivables Cash in</t>
  </si>
  <si>
    <t>Investor Cash in (net)</t>
  </si>
  <si>
    <t>Investor Cash in</t>
  </si>
  <si>
    <t>Total Cash in</t>
  </si>
  <si>
    <t>Total Cash out</t>
  </si>
  <si>
    <t>Net Cash in</t>
  </si>
  <si>
    <t>Cash in Bank</t>
  </si>
  <si>
    <t>Cash in Bank in US$</t>
  </si>
  <si>
    <t>BALANCE  SHEET ITEMS</t>
  </si>
  <si>
    <t>Receivables in US$</t>
  </si>
  <si>
    <t>Receivables</t>
  </si>
  <si>
    <t>Equipment</t>
  </si>
  <si>
    <t>Debt</t>
  </si>
  <si>
    <t>Payables</t>
  </si>
  <si>
    <t>Payables in US$</t>
  </si>
  <si>
    <t>New Worth</t>
  </si>
  <si>
    <t xml:space="preserve">Net Worth in US$ </t>
  </si>
  <si>
    <t>Capitalization Potential</t>
  </si>
  <si>
    <t>lacks history</t>
  </si>
  <si>
    <t>External Factors:</t>
  </si>
  <si>
    <t>begin retail</t>
  </si>
  <si>
    <t>end retail</t>
  </si>
  <si>
    <t>RMB/$</t>
  </si>
  <si>
    <t>taxes</t>
  </si>
  <si>
    <t>bank rate/yr.</t>
  </si>
  <si>
    <t>bank rate/mo.</t>
  </si>
  <si>
    <t>p/e ratio</t>
  </si>
  <si>
    <t>earnings out</t>
  </si>
  <si>
    <t>Pricing:</t>
  </si>
  <si>
    <t>FOB Factory in RMB</t>
  </si>
  <si>
    <t>begin price</t>
  </si>
  <si>
    <t>end price</t>
  </si>
  <si>
    <t>Cash Aging Factors:</t>
  </si>
  <si>
    <t>0 DAYS</t>
  </si>
  <si>
    <t xml:space="preserve"> 30 DAYS</t>
  </si>
  <si>
    <t>(CAPS FIXED)</t>
  </si>
  <si>
    <t>0 days A/R</t>
  </si>
  <si>
    <t>30 days A/R</t>
  </si>
  <si>
    <t>60 days A/R</t>
  </si>
  <si>
    <t>90 days A/R</t>
  </si>
  <si>
    <t>120 days A/R</t>
  </si>
  <si>
    <t>bad A/R</t>
  </si>
  <si>
    <t>Exp. A/P</t>
  </si>
  <si>
    <t>Mat. days A/P</t>
  </si>
  <si>
    <t>Taxes days A/P</t>
  </si>
  <si>
    <t>Overhead Factors:</t>
  </si>
  <si>
    <t>factory overhead</t>
  </si>
  <si>
    <t>non-factory G&amp;A</t>
  </si>
  <si>
    <t>investment</t>
  </si>
  <si>
    <t>financing costs</t>
  </si>
  <si>
    <t>Production Parameters:</t>
  </si>
  <si>
    <t>cost/line</t>
  </si>
  <si>
    <t>cost/line in $</t>
  </si>
  <si>
    <t>wk./start-up</t>
  </si>
  <si>
    <t>salvage value</t>
  </si>
  <si>
    <t>line life in months</t>
  </si>
  <si>
    <t>pre-production</t>
  </si>
  <si>
    <t>Direct Labor Parameters:</t>
  </si>
  <si>
    <t>begin pay/hr.</t>
  </si>
  <si>
    <t>end pay/hr.</t>
  </si>
  <si>
    <t>pay increase/yr.</t>
  </si>
  <si>
    <t>pay increase/mo.</t>
  </si>
  <si>
    <t>worker/line/shift</t>
  </si>
  <si>
    <t>wk./mo.</t>
  </si>
  <si>
    <t>pay premium</t>
  </si>
  <si>
    <t>Productivity Improvement:</t>
  </si>
  <si>
    <t>in units per line</t>
  </si>
  <si>
    <t>begin units/hour</t>
  </si>
  <si>
    <t>end units/hour</t>
  </si>
  <si>
    <t>units increased/yr.</t>
  </si>
  <si>
    <t>units increased/mo.</t>
  </si>
  <si>
    <t>Uptime Improvement:</t>
  </si>
  <si>
    <t>in percent downtime</t>
  </si>
  <si>
    <t>begin downtime</t>
  </si>
  <si>
    <t>end downtime</t>
  </si>
  <si>
    <t>downtime reduced/yr.</t>
  </si>
  <si>
    <t>downtime reduced/mo.</t>
  </si>
  <si>
    <t>Quality Improvement:</t>
  </si>
  <si>
    <t>in rejects per line</t>
  </si>
  <si>
    <t>begin rejects</t>
  </si>
  <si>
    <t>end rejects</t>
  </si>
  <si>
    <t>rejects reduced/yr.</t>
  </si>
  <si>
    <t>rejects reduced/mo.</t>
  </si>
  <si>
    <t>Material Cost Improvement:</t>
  </si>
  <si>
    <t>material cost per unit</t>
  </si>
  <si>
    <t>begin cost</t>
  </si>
  <si>
    <t>end cost</t>
  </si>
  <si>
    <t xml:space="preserve">cost reduced/yr. </t>
  </si>
  <si>
    <t>cost reduced/mo.</t>
  </si>
  <si>
    <t>BUSINESS PLAN NUMBERS</t>
  </si>
  <si>
    <t>(actual versus rounded)</t>
  </si>
  <si>
    <t>Gross Margin</t>
  </si>
  <si>
    <t>Overhead</t>
  </si>
  <si>
    <t>Profit Net AT</t>
  </si>
  <si>
    <t>End Cash</t>
  </si>
  <si>
    <t>Net Worth</t>
  </si>
  <si>
    <t>lacks history</t>
  </si>
  <si>
    <t>August</t>
  </si>
  <si>
    <t xml:space="preserve">Liquidity Option: </t>
  </si>
  <si>
    <t>END</t>
  </si>
  <si>
    <t>1% in RMB</t>
  </si>
  <si>
    <t>1% in US$</t>
  </si>
  <si>
    <t>Growth</t>
  </si>
  <si>
    <t>Capitalization Potential in US$</t>
  </si>
  <si>
    <t>Revenues</t>
  </si>
  <si>
    <t>Data</t>
  </si>
  <si>
    <t>Data Types:  CA = Calculated Amount; MAV = Monthly Assigned Value;  PAV = Project Assigned Value; PLM = Project Learning Model; YAV = Yearly Assigned Value</t>
  </si>
  <si>
    <t>Type</t>
  </si>
  <si>
    <t>NOTE: The word, "Assigned," used here, means that it is a variable of the financial model that can be changed to immediately get the calculated effect.</t>
  </si>
  <si>
    <t>MAV</t>
  </si>
  <si>
    <t>CA</t>
  </si>
  <si>
    <t>The Revenues in RMB, below, divided by the Yearly Assigned exchange rate Value of RMB to US Dollars.  "Revenues" are  also referred to "Sales", and, in the UK, s "turnover".</t>
  </si>
  <si>
    <t>Revenues are Production output times the average factory price adjusted for bad debts (rather than waiting and carring it on the balance sheet and the attendant adjustments).</t>
  </si>
  <si>
    <t>The lines times workers per line times worker's hourly cost times hours in a month adjusted for overtime and December bonus and half pay for the winter.</t>
  </si>
  <si>
    <t>The unit cost is first Learning-adjusted and then multiplied by the units produced times the cost inflated due to units rejected (i.e., 1-units slavaged).</t>
  </si>
  <si>
    <t>The Yearly Assigned overhead percentage Value times the Direct Labor of the first regular month of production and is fixed for the remainder of the year.</t>
  </si>
  <si>
    <t>Simply, the sum of the factory costs (labor, materials, and factory overhead) divided by the monthly revenues.</t>
  </si>
  <si>
    <t>The Yearly Assigned percentage Value times the revenues adjusted (by expanding) for future bad debts.</t>
  </si>
  <si>
    <t>Sometimes absolutely assigned, but otherwise the Yearly Assigned percentage Value times two months later revenues (bookings) adjusted (by expanding) for future bad debts.</t>
  </si>
  <si>
    <t>The Company's Yearly Assigned monthly interest cost of borrowing Value times debt minus the banks' Yearly Assigned interest rate Value times the Company's cash balance.</t>
  </si>
  <si>
    <t>The straight line depreciation method applied to the original acquisition cost of capital equipment over their Project Assigned months of life Value.</t>
  </si>
  <si>
    <t>The Yearly Assigned percentage of net income before taxes (income minus all costs and depreciation) Value as stipulated by applicable governments.</t>
  </si>
  <si>
    <t>The Revenues, above, minus all costs including interest, depreciation, and taxes.</t>
  </si>
  <si>
    <t>The Net Income After Taxes in RMB, above, divided by the Yearly Assigned exchange rate Value of RMB to US Dollars.</t>
  </si>
  <si>
    <t>Simply, the Net Income as a percentage of the Revenues.</t>
  </si>
  <si>
    <t>Receivables are collected here according to the Yearly Assigned aging Values for 0, 30, 60, 120 days and are adjusted for bad debt.</t>
  </si>
  <si>
    <t>This is Monthly Assigned Value for any proceeds (as a positive value) or to (as a negative value) Investors.</t>
  </si>
  <si>
    <t>The sum of Receivables and Investor Cash (interest is figured in Total Cash out, below).</t>
  </si>
  <si>
    <t>The sum of all expenditures which is every item in the Operating Statement, except depreciation, plus capital equipment outlays.</t>
  </si>
  <si>
    <t>The Total Cash in, above, minus the Total Cash out, above.</t>
  </si>
  <si>
    <t>The previous month's Cash in Bank plus the Net Cash in, above.</t>
  </si>
  <si>
    <t>The Cash in Bank in RMB, above, divided by the Yearly Assigned exchange rate Value of RMB to US Dollars.</t>
  </si>
  <si>
    <t>The Receivables in RMB, below, divided by the Yearly Assigned exchange rate Value of RMB to US Dollars.</t>
  </si>
  <si>
    <t>The previous month's Receivables plus the Revenues for the current month minus the Receivables Cash in.  These are the outstanding Receivables.</t>
  </si>
  <si>
    <t>The Monthly Assigned schedule of purchases of capital equipment Values reduced by the Calculated Amount of the Depreciation..</t>
  </si>
  <si>
    <t>The Monthly Assigned debt (as positive) and retirement thereof (as negative) Values.</t>
  </si>
  <si>
    <t>PAV</t>
  </si>
  <si>
    <t>The previous month's Payables plus the current month's Materials (all other payables are paid in the current month so never appear here) minus the previous month's Materials.</t>
  </si>
  <si>
    <t>The Payables in RMB, above, divided by the Yearly Assigned exchange rate Value of RMB to US Dollars.</t>
  </si>
  <si>
    <t>The sum of Assets (Cash in Bank + Receivables + net Equipment) minus Liabilities (Debt + Payables).  Also called "Book Value" or "Shareholders' Equity".</t>
  </si>
  <si>
    <t>The Net Worth in RMB, above, divided by the Yearly Assigned exchange rate Value of RMB to US Dollars.</t>
  </si>
  <si>
    <t>An estimated Public Market Capitalization Value based on a Yearly Assigned price to earnings multiple Value applied to the Company's earnings of the past 12 months.</t>
  </si>
  <si>
    <t>Financial Summary</t>
  </si>
  <si>
    <t>OPERATING STATEMENTS</t>
  </si>
  <si>
    <t>NET INCOME AT</t>
  </si>
  <si>
    <t>BALANCE  SHEETS</t>
  </si>
  <si>
    <t xml:space="preserve">     Receivables</t>
  </si>
  <si>
    <t xml:space="preserve">     Equipment (net)</t>
  </si>
  <si>
    <t>TOTAL</t>
  </si>
  <si>
    <t>LIABILITIES</t>
  </si>
  <si>
    <t xml:space="preserve">     Payables</t>
  </si>
  <si>
    <t>Capitalization @ pe = 15</t>
  </si>
  <si>
    <t>Production output in units</t>
  </si>
  <si>
    <t>months improving</t>
  </si>
  <si>
    <t>BALANCE  SHEET  ITEMS</t>
  </si>
  <si>
    <t>TOTAL ASSETS</t>
  </si>
  <si>
    <t>TOTAL LIABILITIES</t>
  </si>
  <si>
    <t>interest/yr.</t>
  </si>
  <si>
    <t>interest/mo.</t>
  </si>
  <si>
    <t>engineering exp.</t>
  </si>
  <si>
    <t>Units in inventory</t>
  </si>
  <si>
    <t>Units available for sale</t>
  </si>
  <si>
    <t>Units rejected</t>
  </si>
  <si>
    <t>Units / uptime hour / line</t>
  </si>
  <si>
    <t>Inventory (FG/DL content)</t>
  </si>
  <si>
    <t>Inventory (FG/RM content)</t>
  </si>
  <si>
    <t>mat. days on hand</t>
  </si>
  <si>
    <t>Inventory (RM)</t>
  </si>
  <si>
    <t>Bookings in units</t>
  </si>
  <si>
    <t>Backlog in weeks (est.)</t>
  </si>
  <si>
    <t>fixed marketing</t>
  </si>
  <si>
    <t>variable marketing</t>
  </si>
  <si>
    <t>engineering</t>
  </si>
  <si>
    <t>Inventory (FG/Labor content)</t>
  </si>
  <si>
    <t>Inventory (RM)</t>
  </si>
  <si>
    <t>Sales as % available</t>
  </si>
  <si>
    <t>Interest Expense &amp; (Income)</t>
  </si>
  <si>
    <t>Tax Loss Carryforward</t>
  </si>
  <si>
    <t>months improving</t>
  </si>
  <si>
    <t>NET INCOME After Taxes</t>
  </si>
  <si>
    <t>Inventory (FG/RW content)</t>
  </si>
  <si>
    <t>SUPPLY  AND  DEMAND</t>
  </si>
  <si>
    <t>buy-back</t>
  </si>
  <si>
    <t>Hours / shift / week</t>
  </si>
  <si>
    <t>Number of shifts / line</t>
  </si>
  <si>
    <t>total</t>
  </si>
  <si>
    <t>Units shipped</t>
  </si>
  <si>
    <t>base  hr./week</t>
  </si>
  <si>
    <t xml:space="preserve">N/A    </t>
  </si>
  <si>
    <t xml:space="preserve">N/M    </t>
  </si>
  <si>
    <t>ratio</t>
  </si>
  <si>
    <t>relative</t>
  </si>
  <si>
    <t xml:space="preserve">     Inventory</t>
  </si>
  <si>
    <t>ASSETS</t>
  </si>
  <si>
    <t xml:space="preserve">N/M   </t>
  </si>
  <si>
    <t>OTHER</t>
  </si>
  <si>
    <r>
      <t>HK$</t>
    </r>
    <r>
      <rPr>
        <sz val="12"/>
        <rFont val="Arial"/>
        <family val="2"/>
      </rPr>
      <t xml:space="preserve">      </t>
    </r>
    <r>
      <rPr>
        <sz val="10"/>
        <rFont val="Arial"/>
        <family val="2"/>
      </rPr>
      <t>Exchange Rate:  US$ 1.00 =</t>
    </r>
  </si>
  <si>
    <t>The number of assigned production lines in the factory as input by the management.</t>
  </si>
  <si>
    <t>The number of shifts that lines are run to meet the backlog and the orders anticipated in the next month.</t>
  </si>
  <si>
    <t>The hours (50, 45, 30, 20, or 0) per week that line(s) are run to meet the backlog and the orders anticipated through the next month.</t>
  </si>
  <si>
    <t>Line uptime hours</t>
  </si>
  <si>
    <t>The productivity of each line as measured by the number of units a line can produce in 1 hour.</t>
  </si>
  <si>
    <t>The number of hours each line is up (not down due to power, parts, people, …) for the month.</t>
  </si>
  <si>
    <t>The number of units produced by each line as the product of the line uptime, units per hour, and the number of lines.</t>
  </si>
  <si>
    <t>The number of units rejected due to manufacturing and/or raw material flaws.</t>
  </si>
  <si>
    <t>The number of finished and good units produced in excess of bookings.</t>
  </si>
  <si>
    <t>The number of units available for sale as the sum of the inventory plus the units Produced minus the Units rejected.</t>
  </si>
  <si>
    <t>Units produced</t>
  </si>
  <si>
    <t>Lines</t>
  </si>
  <si>
    <t>Shifts / Line</t>
  </si>
  <si>
    <t>Hours / Shift / Week</t>
  </si>
  <si>
    <t>Units / Uptime Hour / Line</t>
  </si>
  <si>
    <t>Units in Inventory</t>
  </si>
  <si>
    <t>Units Available For Sale</t>
  </si>
  <si>
    <t>Backlog in Weeks (est.)</t>
  </si>
  <si>
    <t>Line UptimeHours</t>
  </si>
  <si>
    <t>Units Produced</t>
  </si>
  <si>
    <t>Units Rejected</t>
  </si>
  <si>
    <t>Bookings in Units</t>
  </si>
  <si>
    <t>Shipments as % Available</t>
  </si>
  <si>
    <t>The bookings (orders secured by the Company for later shipment) often mistakenly referred to as "sales".</t>
  </si>
  <si>
    <t>The numbers of weeks at the current level of lines and shifts to fulfill all unfilled units or, if negative, to work off excess inventory.</t>
  </si>
  <si>
    <t>The percent of the total of number of units available for sale that can (and will be) shipped in the current month against unfilled orders.</t>
  </si>
  <si>
    <t>ending</t>
  </si>
  <si>
    <t>average</t>
  </si>
  <si>
    <t>Capitalization @ pe = 5</t>
  </si>
  <si>
    <t>Capitalization @ p/e=15 US$</t>
  </si>
  <si>
    <t>Capitalization @ p/e=10 US$</t>
  </si>
  <si>
    <t>Capitalization @ p/e=5 US$</t>
  </si>
  <si>
    <t>Line Uptime Hours</t>
  </si>
  <si>
    <t>Tax Loss Carry Forward</t>
  </si>
  <si>
    <t>The materials needed in advance for the next few weeks of production according to the reorder level.</t>
  </si>
  <si>
    <t>The Direct Labor content of the Finished Goods Inventory (needed to be separate for computing Cost of Goods Sold).</t>
  </si>
  <si>
    <t>The Raw Material content of the Finished Goods Inventory (needed to be separate for computing Cost of Goods Sold).</t>
  </si>
  <si>
    <t>The unused portion of any Tax credits (carried as an ASSET because it will be consumed in the current year).</t>
  </si>
  <si>
    <t>BUSINESS MODEL PARAMETERS</t>
  </si>
  <si>
    <t>Total</t>
  </si>
  <si>
    <t>20% in US$</t>
  </si>
  <si>
    <t>Residual</t>
  </si>
  <si>
    <t>Growth in Payout</t>
  </si>
  <si>
    <t>May</t>
  </si>
  <si>
    <t>% of Revenues</t>
  </si>
  <si>
    <t>Numbers are days</t>
  </si>
  <si>
    <t>in RMB</t>
  </si>
  <si>
    <t>in US$</t>
  </si>
  <si>
    <t xml:space="preserve">  s  u  s </t>
  </si>
  <si>
    <t xml:space="preserve">v   e   r   </t>
  </si>
  <si>
    <t xml:space="preserve">(      a  c  t  u  a  l </t>
  </si>
  <si>
    <t>r  o  u  n  d  e  d    )</t>
  </si>
  <si>
    <t>Minimum Cash</t>
  </si>
  <si>
    <r>
      <t>US$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Exchange Rate:  US$ 1.00 =</t>
    </r>
  </si>
  <si>
    <r>
      <t>RMB</t>
    </r>
    <r>
      <rPr>
        <sz val="12"/>
        <rFont val="Arial"/>
        <family val="2"/>
      </rPr>
      <t xml:space="preserve">      </t>
    </r>
    <r>
      <rPr>
        <sz val="10"/>
        <rFont val="Arial"/>
        <family val="2"/>
      </rPr>
      <t>Exchange Rate:  US$ 1.00 =</t>
    </r>
  </si>
  <si>
    <t>projected</t>
  </si>
  <si>
    <t>Definitions</t>
  </si>
  <si>
    <t>Projections by Month</t>
  </si>
  <si>
    <t>Summary</t>
  </si>
  <si>
    <t>Projections by Year</t>
  </si>
  <si>
    <t>p/e=15</t>
  </si>
  <si>
    <t>base  hr./wk.</t>
  </si>
  <si>
    <t>base  hr.wko.</t>
  </si>
  <si>
    <t xml:space="preserve">     Net Worth</t>
  </si>
  <si>
    <t>Capitalization @ pe = 10</t>
  </si>
  <si>
    <t xml:space="preserve">     Cash in Bank</t>
  </si>
  <si>
    <t>New Worth in US$</t>
  </si>
  <si>
    <t>p/e=10</t>
  </si>
  <si>
    <t>p/e=5</t>
  </si>
  <si>
    <t>Back Rent</t>
  </si>
  <si>
    <t>Back Materials</t>
  </si>
  <si>
    <t>Back Wages</t>
  </si>
  <si>
    <t>Government Loans</t>
  </si>
  <si>
    <t>Personal Loans</t>
  </si>
  <si>
    <t>Beginning Balance Sheet:</t>
  </si>
  <si>
    <t>Useable Parts</t>
  </si>
  <si>
    <t>Back Payables</t>
  </si>
  <si>
    <t>not meaningful</t>
  </si>
  <si>
    <t>premium pay</t>
  </si>
  <si>
    <t>Backlog in Weeks</t>
  </si>
  <si>
    <t>35% in US$</t>
  </si>
  <si>
    <t>Year 2006</t>
  </si>
  <si>
    <t>Year 2005</t>
  </si>
  <si>
    <t>Year 2004</t>
  </si>
  <si>
    <t>2004 Performance:</t>
  </si>
  <si>
    <t>2004 Situation:</t>
  </si>
  <si>
    <t>2005 Performance:</t>
  </si>
  <si>
    <t>2005 Situation:</t>
  </si>
  <si>
    <t>2006 Performance:</t>
  </si>
  <si>
    <t>2006 Situation:</t>
  </si>
  <si>
    <t>2004, 2005, and 2006 Projections</t>
  </si>
  <si>
    <t>供应与需求</t>
  </si>
  <si>
    <t>生产线数量</t>
  </si>
  <si>
    <t>生产班次与生产线数量</t>
  </si>
  <si>
    <r>
      <t>工时</t>
    </r>
    <r>
      <rPr>
        <sz val="12"/>
        <rFont val="Arial"/>
        <family val="2"/>
      </rPr>
      <t xml:space="preserve"> / </t>
    </r>
    <r>
      <rPr>
        <sz val="12"/>
        <rFont val="宋体"/>
        <family val="0"/>
      </rPr>
      <t>班次</t>
    </r>
    <r>
      <rPr>
        <sz val="12"/>
        <rFont val="Arial"/>
        <family val="2"/>
      </rPr>
      <t xml:space="preserve"> / </t>
    </r>
    <r>
      <rPr>
        <sz val="12"/>
        <rFont val="宋体"/>
        <family val="0"/>
      </rPr>
      <t>星期</t>
    </r>
  </si>
  <si>
    <r>
      <t>单件</t>
    </r>
    <r>
      <rPr>
        <sz val="12"/>
        <rFont val="Arial"/>
        <family val="2"/>
      </rPr>
      <t>/</t>
    </r>
    <r>
      <rPr>
        <sz val="12"/>
        <rFont val="宋体"/>
        <family val="0"/>
      </rPr>
      <t>生产线运行时间</t>
    </r>
    <r>
      <rPr>
        <sz val="12"/>
        <rFont val="Arial"/>
        <family val="2"/>
      </rPr>
      <t>/</t>
    </r>
    <r>
      <rPr>
        <sz val="12"/>
        <rFont val="宋体"/>
        <family val="0"/>
      </rPr>
      <t>生产线</t>
    </r>
  </si>
  <si>
    <t>生产线正常运行时间</t>
  </si>
  <si>
    <t>可生产单件数量</t>
  </si>
  <si>
    <t>不合格产品件数</t>
  </si>
  <si>
    <t>库存产品数量</t>
  </si>
  <si>
    <t>可销售产品数量</t>
  </si>
  <si>
    <t>预约产品件数</t>
  </si>
  <si>
    <t>多少个星期后交付定货</t>
  </si>
  <si>
    <t>可销售的百分比</t>
  </si>
  <si>
    <r>
      <t>运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作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记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录</t>
    </r>
  </si>
  <si>
    <t>营业额（美元）</t>
  </si>
  <si>
    <t>营业额</t>
  </si>
  <si>
    <t>直接劳动力成本</t>
  </si>
  <si>
    <t>原料成本</t>
  </si>
  <si>
    <t>工厂一般管理费用</t>
  </si>
  <si>
    <t>毛利润</t>
  </si>
  <si>
    <t>总体与管理费用</t>
  </si>
  <si>
    <t>市场费用</t>
  </si>
  <si>
    <t>工程费用</t>
  </si>
  <si>
    <t>利息花费或利息收入</t>
  </si>
  <si>
    <t>折旧（同一时间）</t>
  </si>
  <si>
    <t>赢利税</t>
  </si>
  <si>
    <t>税后净收益</t>
  </si>
  <si>
    <t>税后净收益（美元）</t>
  </si>
  <si>
    <t>税后净收益比率</t>
  </si>
  <si>
    <r>
      <t>现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流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量</t>
    </r>
  </si>
  <si>
    <t>应收货款</t>
  </si>
  <si>
    <t>投资款额</t>
  </si>
  <si>
    <t>应收及投资总额</t>
  </si>
  <si>
    <t>消费总额</t>
  </si>
  <si>
    <t>净收款</t>
  </si>
  <si>
    <t>银行现金</t>
  </si>
  <si>
    <t>银行净现（美元）</t>
  </si>
  <si>
    <t>资产负债表条款</t>
  </si>
  <si>
    <t>应收货款（美元）</t>
  </si>
  <si>
    <t>库存（未加工原材料）</t>
  </si>
  <si>
    <r>
      <t>库存（成品</t>
    </r>
    <r>
      <rPr>
        <sz val="12"/>
        <rFont val="Arial"/>
        <family val="2"/>
      </rPr>
      <t>/</t>
    </r>
    <r>
      <rPr>
        <sz val="12"/>
        <rFont val="宋体"/>
        <family val="0"/>
      </rPr>
      <t>直接劳动力目录）</t>
    </r>
  </si>
  <si>
    <r>
      <t>库存（成品</t>
    </r>
    <r>
      <rPr>
        <sz val="12"/>
        <rFont val="Arial"/>
        <family val="2"/>
      </rPr>
      <t>/</t>
    </r>
    <r>
      <rPr>
        <sz val="12"/>
        <rFont val="宋体"/>
        <family val="0"/>
      </rPr>
      <t>原材料目录）</t>
    </r>
  </si>
  <si>
    <t>设备</t>
  </si>
  <si>
    <t>亏税贴补</t>
  </si>
  <si>
    <r>
      <t>总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资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产</t>
    </r>
  </si>
  <si>
    <r>
      <t>债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务</t>
    </r>
  </si>
  <si>
    <r>
      <t>应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付</t>
    </r>
  </si>
  <si>
    <r>
      <t>应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付（美元）</t>
    </r>
  </si>
  <si>
    <t>净收值</t>
  </si>
  <si>
    <r>
      <t>总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负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债</t>
    </r>
  </si>
  <si>
    <t>净收值（美元）</t>
  </si>
  <si>
    <t>潜在资本总额（美元）</t>
  </si>
  <si>
    <t>2005 RMB/$</t>
  </si>
  <si>
    <t>2005 taxes</t>
  </si>
  <si>
    <t>2005 interest/yr.</t>
  </si>
  <si>
    <t>2005 interest/mo.</t>
  </si>
  <si>
    <t>2005 bank rate/yr.</t>
  </si>
  <si>
    <t>2005 bank rate/mo.</t>
  </si>
  <si>
    <t>2005 p/e ratio</t>
  </si>
  <si>
    <t>2005 earnings out</t>
  </si>
  <si>
    <t>2005 buy-back</t>
  </si>
  <si>
    <t>2005 price</t>
  </si>
  <si>
    <t>2005 Proforma by Month</t>
  </si>
  <si>
    <t>2004 price</t>
  </si>
  <si>
    <t>2006 price</t>
  </si>
  <si>
    <t>2006 RMB/$</t>
  </si>
  <si>
    <t>2006 tax rate</t>
  </si>
  <si>
    <t>2006 interest/yr.</t>
  </si>
  <si>
    <t>2006 interest/mo.</t>
  </si>
  <si>
    <t>2006 bank rate/yr.</t>
  </si>
  <si>
    <t>2006 bank rate/mo.</t>
  </si>
  <si>
    <t>2006 p/e ratio</t>
  </si>
  <si>
    <t>2006 earnings out</t>
  </si>
  <si>
    <t>2006 buy-back</t>
  </si>
  <si>
    <t>2006 Proforma by Month</t>
  </si>
  <si>
    <t>2004 Proforma by Month</t>
  </si>
  <si>
    <t>in 2004</t>
  </si>
  <si>
    <t>Jun-05</t>
  </si>
  <si>
    <t>Jun-06</t>
  </si>
  <si>
    <t>Jun-07</t>
  </si>
  <si>
    <t>upgrade 2005</t>
  </si>
  <si>
    <t>upgrade 2006</t>
  </si>
  <si>
    <t>in 2005</t>
  </si>
  <si>
    <t>upgrade in 2005</t>
  </si>
  <si>
    <t>upgrade in 2006</t>
  </si>
  <si>
    <t>upgrade in 2004</t>
  </si>
  <si>
    <t>in 2006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</si>
</sst>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.0%"/>
    <numFmt numFmtId="183" formatCode="0.0"/>
    <numFmt numFmtId="184" formatCode="_(* #,##0_);_(* \(#,##0\);_(* &quot;-&quot;??_);_(@_)"/>
    <numFmt numFmtId="185" formatCode="_(&quot;$&quot;* #,##0_);_(&quot;$&quot;* \(#,##0\);_(&quot;$&quot;* &quot;-&quot;??_);_(@_)"/>
    <numFmt numFmtId="186" formatCode="_(* #,##0.000_);_(* \(#,##0.000\);_(* &quot;-&quot;??_);_(@_)"/>
    <numFmt numFmtId="187" formatCode="_ * #,##0_ ;_ * \-#,##0_ ;_ * &quot;-&quot;??_ ;_ @_ "/>
    <numFmt numFmtId="188" formatCode="_(* #,##0.0_);_(* \(#,##0.0\);_(* &quot;-&quot;??_);_(@_)"/>
    <numFmt numFmtId="189" formatCode="0.000"/>
    <numFmt numFmtId="190" formatCode="_ * #,##0.0_ ;_ * \-#,##0.0_ ;_ * &quot;-&quot;??_ ;_ @_ "/>
    <numFmt numFmtId="191" formatCode="_ * #,##0.0_ ;_ * \-#,##0.0_ ;_ * &quot;-&quot;?_ ;_ @_ "/>
    <numFmt numFmtId="192" formatCode="0.00_);[Red]\(0.00\)"/>
    <numFmt numFmtId="193" formatCode="_ * #,##0.000_ ;_ * \-#,##0.000_ ;_ * &quot;-&quot;??_ ;_ @_ "/>
    <numFmt numFmtId="194" formatCode="_ * #,##0.0000_ ;_ * \-#,##0.0000_ ;_ * &quot;-&quot;??_ ;_ @_ "/>
    <numFmt numFmtId="195" formatCode="_ * #,##0.00000_ ;_ * \-#,##0.00000_ ;_ * &quot;-&quot;??_ ;_ @_ "/>
    <numFmt numFmtId="196" formatCode="_ * #,##0.000000_ ;_ * \-#,##0.000000_ ;_ * &quot;-&quot;??_ ;_ @_ "/>
    <numFmt numFmtId="197" formatCode="0.000000000000000%"/>
    <numFmt numFmtId="198" formatCode="0.00000000000000%"/>
    <numFmt numFmtId="199" formatCode="0.000000"/>
    <numFmt numFmtId="200" formatCode="0.00000"/>
    <numFmt numFmtId="201" formatCode="0.0000"/>
    <numFmt numFmtId="202" formatCode="_(* #,##0.0_);_(* \(#,##0.0\);_(* &quot;-&quot;?_);_(@_)"/>
    <numFmt numFmtId="203" formatCode="0.00_);\(0.00\)"/>
    <numFmt numFmtId="204" formatCode="0.0_);\(0.0\)"/>
    <numFmt numFmtId="205" formatCode="0_);\(0\)"/>
    <numFmt numFmtId="206" formatCode="#,##0.0"/>
    <numFmt numFmtId="207" formatCode="_ &quot;￥&quot;* #,##0.0_ ;_ &quot;￥&quot;* \-#,##0.0_ ;_ &quot;￥&quot;* &quot;-&quot;??_ ;_ @_ "/>
    <numFmt numFmtId="208" formatCode="_ &quot;￥&quot;* #,##0_ ;_ &quot;￥&quot;* \-#,##0_ ;_ &quot;￥&quot;* &quot;-&quot;??_ ;_ @_ "/>
    <numFmt numFmtId="209" formatCode="_ * #,##0.0000000_ ;_ * \-#,##0.0000000_ ;_ * &quot;-&quot;??_ ;_ @_ "/>
    <numFmt numFmtId="210" formatCode="_ * #,##0.00000000_ ;_ * \-#,##0.00000000_ ;_ * &quot;-&quot;??_ ;_ @_ "/>
    <numFmt numFmtId="211" formatCode="_ * #,##0.000000000_ ;_ * \-#,##0.000000000_ ;_ * &quot;-&quot;??_ ;_ @_ "/>
    <numFmt numFmtId="212" formatCode="_ * #,##0.0000000000_ ;_ * \-#,##0.0000000000_ ;_ * &quot;-&quot;??_ ;_ @_ "/>
    <numFmt numFmtId="213" formatCode="_ * #,##0.00000000000_ ;_ * \-#,##0.00000000000_ ;_ * &quot;-&quot;??_ ;_ @_ "/>
    <numFmt numFmtId="214" formatCode="_ * #,##0.000000000000_ ;_ * \-#,##0.000000000000_ ;_ * &quot;-&quot;??_ ;_ @_ "/>
    <numFmt numFmtId="215" formatCode="#,##0.0_);\(#,##0.0\)"/>
    <numFmt numFmtId="216" formatCode="#,##0.000_);\(#,##0.000\)"/>
    <numFmt numFmtId="217" formatCode="#,##0.0000_);\(#,##0.0000\)"/>
    <numFmt numFmtId="218" formatCode="&quot;$&quot;#,##0.0_);[Red]\(&quot;$&quot;#,##0.0\)"/>
    <numFmt numFmtId="219" formatCode="0.000%"/>
    <numFmt numFmtId="220" formatCode="0.0000%"/>
    <numFmt numFmtId="221" formatCode="_(* #,##0.000_);_(* \(#,##0.000\);_(* &quot;-&quot;???_);_(@_)"/>
  </numFmts>
  <fonts count="62">
    <font>
      <sz val="12"/>
      <name val="Arial"/>
      <family val="2"/>
    </font>
    <font>
      <sz val="12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23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23"/>
      <name val="Arial"/>
      <family val="2"/>
    </font>
    <font>
      <sz val="10"/>
      <color indexed="9"/>
      <name val="Arial"/>
      <family val="2"/>
    </font>
    <font>
      <b/>
      <sz val="10"/>
      <color indexed="23"/>
      <name val="Arial"/>
      <family val="2"/>
    </font>
    <font>
      <sz val="8"/>
      <name val="Arial"/>
      <family val="2"/>
    </font>
    <font>
      <sz val="12"/>
      <color indexed="53"/>
      <name val="Arial"/>
      <family val="2"/>
    </font>
    <font>
      <sz val="10"/>
      <color indexed="12"/>
      <name val="Arial"/>
      <family val="2"/>
    </font>
    <font>
      <b/>
      <sz val="12"/>
      <color indexed="53"/>
      <name val="Arial"/>
      <family val="2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12"/>
      <name val="宋体"/>
      <family val="0"/>
    </font>
    <font>
      <b/>
      <sz val="12"/>
      <color indexed="12"/>
      <name val="宋体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theme="1"/>
      </right>
      <top>
        <color indexed="63"/>
      </top>
      <bottom>
        <color indexed="63"/>
      </bottom>
    </border>
  </borders>
  <cellStyleXfs count="65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37" fontId="1" fillId="0" borderId="0" applyFont="0" applyFill="0" applyBorder="0" applyAlignment="0" applyProtection="0"/>
    <xf numFmtId="1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0" borderId="1" applyNumberFormat="0" applyAlignment="0" applyProtection="0"/>
    <xf numFmtId="39" fontId="0" fillId="31" borderId="6" applyNumberFormat="0" applyFont="0" applyAlignment="0">
      <protection/>
    </xf>
    <xf numFmtId="0" fontId="54" fillId="0" borderId="7" applyNumberFormat="0" applyFill="0" applyAlignment="0" applyProtection="0"/>
    <xf numFmtId="0" fontId="55" fillId="32" borderId="0" applyNumberFormat="0" applyBorder="0" applyAlignment="0" applyProtection="0"/>
    <xf numFmtId="0" fontId="0" fillId="33" borderId="8" applyNumberFormat="0" applyFont="0" applyAlignment="0" applyProtection="0"/>
    <xf numFmtId="0" fontId="56" fillId="27" borderId="9" applyNumberFormat="0" applyAlignment="0" applyProtection="0"/>
    <xf numFmtId="9" fontId="1" fillId="0" borderId="0" applyFont="0" applyFill="0" applyBorder="0" applyAlignment="0" applyProtection="0"/>
    <xf numFmtId="39" fontId="9" fillId="34" borderId="6" applyNumberFormat="0" applyFont="0" applyAlignment="0">
      <protection/>
    </xf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</cellStyleXfs>
  <cellXfs count="324">
    <xf numFmtId="39" fontId="0" fillId="0" borderId="0" xfId="0" applyAlignment="1">
      <alignment/>
    </xf>
    <xf numFmtId="39" fontId="0" fillId="0" borderId="0" xfId="0" applyAlignment="1">
      <alignment horizontal="center"/>
    </xf>
    <xf numFmtId="39" fontId="0" fillId="0" borderId="0" xfId="0" applyAlignment="1">
      <alignment horizontal="left"/>
    </xf>
    <xf numFmtId="39" fontId="0" fillId="0" borderId="0" xfId="0" applyAlignment="1">
      <alignment horizontal="right"/>
    </xf>
    <xf numFmtId="184" fontId="0" fillId="0" borderId="0" xfId="42" applyNumberFormat="1" applyFont="1" applyAlignment="1">
      <alignment horizontal="left"/>
    </xf>
    <xf numFmtId="184" fontId="0" fillId="0" borderId="0" xfId="42" applyNumberFormat="1" applyFont="1" applyAlignment="1">
      <alignment horizontal="right"/>
    </xf>
    <xf numFmtId="182" fontId="0" fillId="0" borderId="0" xfId="60" applyNumberFormat="1" applyFont="1" applyAlignment="1">
      <alignment horizontal="right"/>
    </xf>
    <xf numFmtId="39" fontId="5" fillId="0" borderId="0" xfId="0" applyFont="1" applyAlignment="1">
      <alignment horizontal="center"/>
    </xf>
    <xf numFmtId="39" fontId="5" fillId="0" borderId="0" xfId="0" applyFont="1" applyAlignment="1">
      <alignment/>
    </xf>
    <xf numFmtId="39" fontId="6" fillId="0" borderId="0" xfId="0" applyFont="1" applyAlignment="1">
      <alignment horizontal="left"/>
    </xf>
    <xf numFmtId="39" fontId="0" fillId="0" borderId="0" xfId="0" applyFont="1" applyAlignment="1">
      <alignment horizontal="right"/>
    </xf>
    <xf numFmtId="187" fontId="6" fillId="0" borderId="0" xfId="42" applyNumberFormat="1" applyFont="1" applyAlignment="1">
      <alignment horizontal="left"/>
    </xf>
    <xf numFmtId="39" fontId="0" fillId="0" borderId="0" xfId="0" applyFont="1" applyAlignment="1">
      <alignment horizontal="left"/>
    </xf>
    <xf numFmtId="184" fontId="5" fillId="0" borderId="0" xfId="42" applyNumberFormat="1" applyFont="1" applyAlignment="1">
      <alignment horizontal="center"/>
    </xf>
    <xf numFmtId="39" fontId="5" fillId="0" borderId="0" xfId="0" applyFont="1" applyBorder="1" applyAlignment="1">
      <alignment horizontal="center"/>
    </xf>
    <xf numFmtId="187" fontId="0" fillId="0" borderId="0" xfId="42" applyNumberFormat="1" applyFont="1" applyBorder="1" applyAlignment="1">
      <alignment horizontal="left"/>
    </xf>
    <xf numFmtId="39" fontId="0" fillId="0" borderId="0" xfId="0" applyFont="1" applyAlignment="1">
      <alignment horizontal="center"/>
    </xf>
    <xf numFmtId="182" fontId="0" fillId="0" borderId="0" xfId="60" applyNumberFormat="1" applyFont="1" applyAlignment="1">
      <alignment/>
    </xf>
    <xf numFmtId="39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right"/>
    </xf>
    <xf numFmtId="187" fontId="7" fillId="0" borderId="0" xfId="42" applyNumberFormat="1" applyFont="1" applyAlignment="1">
      <alignment horizontal="right"/>
    </xf>
    <xf numFmtId="187" fontId="0" fillId="0" borderId="0" xfId="42" applyNumberFormat="1" applyFont="1" applyAlignment="1">
      <alignment/>
    </xf>
    <xf numFmtId="187" fontId="0" fillId="0" borderId="0" xfId="42" applyNumberFormat="1" applyFont="1" applyAlignment="1">
      <alignment horizontal="left"/>
    </xf>
    <xf numFmtId="187" fontId="0" fillId="0" borderId="0" xfId="42" applyNumberFormat="1" applyFont="1" applyAlignment="1">
      <alignment horizontal="right"/>
    </xf>
    <xf numFmtId="182" fontId="0" fillId="0" borderId="0" xfId="60" applyNumberFormat="1" applyFont="1" applyAlignment="1">
      <alignment horizontal="right"/>
    </xf>
    <xf numFmtId="184" fontId="0" fillId="0" borderId="0" xfId="42" applyNumberFormat="1" applyFont="1" applyAlignment="1">
      <alignment horizontal="left"/>
    </xf>
    <xf numFmtId="184" fontId="0" fillId="0" borderId="0" xfId="42" applyNumberFormat="1" applyFont="1" applyAlignment="1">
      <alignment horizontal="right"/>
    </xf>
    <xf numFmtId="184" fontId="0" fillId="0" borderId="0" xfId="42" applyNumberFormat="1" applyFont="1" applyAlignment="1">
      <alignment/>
    </xf>
    <xf numFmtId="185" fontId="0" fillId="0" borderId="0" xfId="44" applyNumberFormat="1" applyFont="1" applyAlignment="1">
      <alignment horizontal="right"/>
    </xf>
    <xf numFmtId="184" fontId="0" fillId="0" borderId="0" xfId="0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43" fontId="0" fillId="0" borderId="0" xfId="42" applyNumberFormat="1" applyFont="1" applyAlignment="1">
      <alignment horizontal="right"/>
    </xf>
    <xf numFmtId="187" fontId="0" fillId="31" borderId="0" xfId="42" applyNumberFormat="1" applyFont="1" applyFill="1" applyAlignment="1">
      <alignment horizontal="right"/>
    </xf>
    <xf numFmtId="39" fontId="0" fillId="0" borderId="0" xfId="0" applyFont="1" applyBorder="1" applyAlignment="1">
      <alignment/>
    </xf>
    <xf numFmtId="187" fontId="0" fillId="0" borderId="0" xfId="42" applyNumberFormat="1" applyFont="1" applyBorder="1" applyAlignment="1">
      <alignment horizontal="right"/>
    </xf>
    <xf numFmtId="39" fontId="0" fillId="0" borderId="0" xfId="0" applyFont="1" applyBorder="1" applyAlignment="1">
      <alignment horizontal="left"/>
    </xf>
    <xf numFmtId="39" fontId="0" fillId="31" borderId="0" xfId="0" applyFont="1" applyFill="1" applyBorder="1" applyAlignment="1">
      <alignment horizontal="left"/>
    </xf>
    <xf numFmtId="185" fontId="0" fillId="31" borderId="0" xfId="44" applyNumberFormat="1" applyFont="1" applyFill="1" applyBorder="1" applyAlignment="1">
      <alignment horizontal="right"/>
    </xf>
    <xf numFmtId="39" fontId="0" fillId="0" borderId="0" xfId="0" applyFont="1" applyBorder="1" applyAlignment="1">
      <alignment horizontal="right"/>
    </xf>
    <xf numFmtId="185" fontId="0" fillId="0" borderId="0" xfId="44" applyNumberFormat="1" applyFont="1" applyBorder="1" applyAlignment="1">
      <alignment horizontal="right"/>
    </xf>
    <xf numFmtId="185" fontId="0" fillId="0" borderId="0" xfId="44" applyNumberFormat="1" applyFont="1" applyAlignment="1">
      <alignment horizontal="center"/>
    </xf>
    <xf numFmtId="43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39" fontId="7" fillId="0" borderId="0" xfId="0" applyFont="1" applyAlignment="1">
      <alignment horizontal="right"/>
    </xf>
    <xf numFmtId="39" fontId="7" fillId="0" borderId="0" xfId="0" applyFont="1" applyAlignment="1">
      <alignment horizontal="left"/>
    </xf>
    <xf numFmtId="39" fontId="7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9" fontId="0" fillId="0" borderId="0" xfId="60" applyFont="1" applyAlignment="1">
      <alignment horizontal="right"/>
    </xf>
    <xf numFmtId="3" fontId="0" fillId="0" borderId="0" xfId="0" applyNumberFormat="1" applyFont="1" applyAlignment="1">
      <alignment/>
    </xf>
    <xf numFmtId="185" fontId="0" fillId="0" borderId="0" xfId="0" applyNumberFormat="1" applyFont="1" applyAlignment="1">
      <alignment horizontal="right"/>
    </xf>
    <xf numFmtId="185" fontId="0" fillId="0" borderId="0" xfId="44" applyNumberFormat="1" applyFont="1" applyAlignment="1">
      <alignment/>
    </xf>
    <xf numFmtId="9" fontId="0" fillId="0" borderId="0" xfId="60" applyFont="1" applyAlignment="1">
      <alignment/>
    </xf>
    <xf numFmtId="185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90" fontId="0" fillId="0" borderId="0" xfId="42" applyNumberFormat="1" applyFont="1" applyAlignment="1">
      <alignment horizontal="right"/>
    </xf>
    <xf numFmtId="9" fontId="7" fillId="0" borderId="0" xfId="0" applyNumberFormat="1" applyFont="1" applyAlignment="1">
      <alignment horizontal="right"/>
    </xf>
    <xf numFmtId="182" fontId="7" fillId="0" borderId="0" xfId="60" applyNumberFormat="1" applyFont="1" applyAlignment="1">
      <alignment horizontal="right"/>
    </xf>
    <xf numFmtId="10" fontId="0" fillId="0" borderId="0" xfId="60" applyNumberFormat="1" applyFont="1" applyAlignment="1">
      <alignment horizontal="right"/>
    </xf>
    <xf numFmtId="37" fontId="7" fillId="0" borderId="0" xfId="42" applyFont="1" applyAlignment="1">
      <alignment horizontal="right"/>
    </xf>
    <xf numFmtId="182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84" fontId="7" fillId="0" borderId="0" xfId="42" applyNumberFormat="1" applyFont="1" applyAlignment="1">
      <alignment horizontal="right"/>
    </xf>
    <xf numFmtId="184" fontId="7" fillId="0" borderId="0" xfId="0" applyNumberFormat="1" applyFont="1" applyAlignment="1">
      <alignment horizontal="right"/>
    </xf>
    <xf numFmtId="188" fontId="7" fillId="0" borderId="0" xfId="42" applyNumberFormat="1" applyFont="1" applyAlignment="1">
      <alignment horizontal="right"/>
    </xf>
    <xf numFmtId="190" fontId="0" fillId="0" borderId="0" xfId="42" applyNumberFormat="1" applyFont="1" applyAlignment="1">
      <alignment horizontal="left"/>
    </xf>
    <xf numFmtId="190" fontId="0" fillId="0" borderId="0" xfId="42" applyNumberFormat="1" applyFont="1" applyAlignment="1">
      <alignment/>
    </xf>
    <xf numFmtId="187" fontId="0" fillId="31" borderId="0" xfId="42" applyNumberFormat="1" applyFont="1" applyFill="1" applyAlignment="1">
      <alignment horizontal="left"/>
    </xf>
    <xf numFmtId="187" fontId="0" fillId="31" borderId="0" xfId="42" applyNumberFormat="1" applyFont="1" applyFill="1" applyBorder="1" applyAlignment="1">
      <alignment horizontal="left"/>
    </xf>
    <xf numFmtId="187" fontId="0" fillId="0" borderId="0" xfId="0" applyNumberFormat="1" applyFont="1" applyBorder="1" applyAlignment="1">
      <alignment horizontal="right"/>
    </xf>
    <xf numFmtId="187" fontId="0" fillId="0" borderId="0" xfId="42" applyNumberFormat="1" applyFont="1" applyFill="1" applyAlignment="1">
      <alignment horizontal="right"/>
    </xf>
    <xf numFmtId="39" fontId="7" fillId="0" borderId="0" xfId="0" applyFont="1" applyAlignment="1">
      <alignment horizontal="center"/>
    </xf>
    <xf numFmtId="183" fontId="0" fillId="0" borderId="0" xfId="0" applyNumberFormat="1" applyFont="1" applyAlignment="1">
      <alignment horizontal="right"/>
    </xf>
    <xf numFmtId="39" fontId="0" fillId="0" borderId="0" xfId="0" applyFont="1" applyFill="1" applyAlignment="1">
      <alignment horizontal="left"/>
    </xf>
    <xf numFmtId="184" fontId="0" fillId="0" borderId="0" xfId="42" applyNumberFormat="1" applyFont="1" applyFill="1" applyAlignment="1">
      <alignment horizontal="right"/>
    </xf>
    <xf numFmtId="39" fontId="0" fillId="0" borderId="0" xfId="0" applyFont="1" applyFill="1" applyAlignment="1">
      <alignment/>
    </xf>
    <xf numFmtId="6" fontId="0" fillId="0" borderId="0" xfId="44" applyFont="1" applyAlignment="1">
      <alignment horizontal="right"/>
    </xf>
    <xf numFmtId="39" fontId="0" fillId="0" borderId="0" xfId="0" applyFont="1" applyFill="1" applyBorder="1" applyAlignment="1">
      <alignment horizontal="left"/>
    </xf>
    <xf numFmtId="187" fontId="0" fillId="0" borderId="0" xfId="42" applyNumberFormat="1" applyFont="1" applyFill="1" applyBorder="1" applyAlignment="1">
      <alignment horizontal="right"/>
    </xf>
    <xf numFmtId="39" fontId="0" fillId="0" borderId="0" xfId="0" applyFont="1" applyFill="1" applyAlignment="1">
      <alignment horizontal="center"/>
    </xf>
    <xf numFmtId="39" fontId="0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center"/>
    </xf>
    <xf numFmtId="187" fontId="7" fillId="0" borderId="0" xfId="42" applyNumberFormat="1" applyFont="1" applyFill="1" applyAlignment="1">
      <alignment horizontal="right"/>
    </xf>
    <xf numFmtId="185" fontId="0" fillId="0" borderId="0" xfId="44" applyNumberFormat="1" applyFont="1" applyFill="1" applyAlignment="1">
      <alignment horizontal="right"/>
    </xf>
    <xf numFmtId="182" fontId="0" fillId="0" borderId="0" xfId="60" applyNumberFormat="1" applyFont="1" applyFill="1" applyAlignment="1">
      <alignment horizontal="right"/>
    </xf>
    <xf numFmtId="37" fontId="0" fillId="0" borderId="0" xfId="42" applyNumberFormat="1" applyFont="1" applyFill="1" applyAlignment="1">
      <alignment/>
    </xf>
    <xf numFmtId="43" fontId="0" fillId="0" borderId="0" xfId="0" applyNumberFormat="1" applyFont="1" applyFill="1" applyAlignment="1">
      <alignment horizontal="right"/>
    </xf>
    <xf numFmtId="185" fontId="0" fillId="0" borderId="0" xfId="44" applyNumberFormat="1" applyFont="1" applyFill="1" applyBorder="1" applyAlignment="1">
      <alignment horizontal="right"/>
    </xf>
    <xf numFmtId="39" fontId="0" fillId="0" borderId="0" xfId="0" applyFont="1" applyFill="1" applyBorder="1" applyAlignment="1">
      <alignment horizontal="right"/>
    </xf>
    <xf numFmtId="187" fontId="0" fillId="0" borderId="0" xfId="0" applyNumberFormat="1" applyFont="1" applyFill="1" applyBorder="1" applyAlignment="1">
      <alignment horizontal="right"/>
    </xf>
    <xf numFmtId="6" fontId="0" fillId="0" borderId="0" xfId="44" applyFont="1" applyFill="1" applyAlignment="1">
      <alignment horizontal="right"/>
    </xf>
    <xf numFmtId="182" fontId="7" fillId="0" borderId="0" xfId="60" applyNumberFormat="1" applyFont="1" applyFill="1" applyAlignment="1">
      <alignment horizontal="right"/>
    </xf>
    <xf numFmtId="182" fontId="7" fillId="0" borderId="0" xfId="0" applyNumberFormat="1" applyFont="1" applyFill="1" applyAlignment="1">
      <alignment horizontal="right"/>
    </xf>
    <xf numFmtId="39" fontId="7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184" fontId="0" fillId="0" borderId="0" xfId="0" applyNumberFormat="1" applyFont="1" applyFill="1" applyAlignment="1">
      <alignment horizontal="right"/>
    </xf>
    <xf numFmtId="39" fontId="5" fillId="0" borderId="0" xfId="0" applyFont="1" applyFill="1" applyBorder="1" applyAlignment="1">
      <alignment horizontal="center"/>
    </xf>
    <xf numFmtId="37" fontId="0" fillId="0" borderId="0" xfId="42" applyFont="1" applyFill="1" applyBorder="1" applyAlignment="1">
      <alignment horizontal="right"/>
    </xf>
    <xf numFmtId="184" fontId="5" fillId="0" borderId="0" xfId="42" applyNumberFormat="1" applyFont="1" applyFill="1" applyAlignment="1">
      <alignment horizontal="center"/>
    </xf>
    <xf numFmtId="37" fontId="0" fillId="0" borderId="0" xfId="42" applyFont="1" applyFill="1" applyAlignment="1">
      <alignment horizontal="right"/>
    </xf>
    <xf numFmtId="39" fontId="8" fillId="0" borderId="0" xfId="0" applyFont="1" applyFill="1" applyBorder="1" applyAlignment="1">
      <alignment horizontal="left"/>
    </xf>
    <xf numFmtId="37" fontId="0" fillId="0" borderId="0" xfId="42" applyFont="1" applyAlignment="1">
      <alignment horizontal="right"/>
    </xf>
    <xf numFmtId="182" fontId="0" fillId="0" borderId="0" xfId="0" applyNumberFormat="1" applyFont="1" applyFill="1" applyAlignment="1">
      <alignment horizontal="right"/>
    </xf>
    <xf numFmtId="14" fontId="7" fillId="0" borderId="0" xfId="0" applyNumberFormat="1" applyFont="1" applyAlignment="1">
      <alignment horizontal="center"/>
    </xf>
    <xf numFmtId="183" fontId="0" fillId="0" borderId="0" xfId="0" applyNumberFormat="1" applyFont="1" applyFill="1" applyAlignment="1">
      <alignment horizontal="right"/>
    </xf>
    <xf numFmtId="187" fontId="7" fillId="0" borderId="0" xfId="42" applyNumberFormat="1" applyFont="1" applyAlignment="1">
      <alignment horizontal="center"/>
    </xf>
    <xf numFmtId="215" fontId="0" fillId="0" borderId="0" xfId="42" applyNumberFormat="1" applyFont="1" applyAlignment="1">
      <alignment horizontal="right"/>
    </xf>
    <xf numFmtId="9" fontId="0" fillId="0" borderId="0" xfId="0" applyNumberFormat="1" applyFont="1" applyFill="1" applyAlignment="1">
      <alignment horizontal="right"/>
    </xf>
    <xf numFmtId="37" fontId="0" fillId="0" borderId="0" xfId="42" applyNumberFormat="1" applyFont="1" applyAlignment="1">
      <alignment horizontal="right"/>
    </xf>
    <xf numFmtId="37" fontId="0" fillId="0" borderId="0" xfId="0" applyNumberFormat="1" applyFont="1" applyFill="1" applyAlignment="1">
      <alignment horizontal="center"/>
    </xf>
    <xf numFmtId="37" fontId="0" fillId="0" borderId="0" xfId="0" applyNumberFormat="1" applyFont="1" applyAlignment="1">
      <alignment horizontal="center"/>
    </xf>
    <xf numFmtId="37" fontId="6" fillId="0" borderId="0" xfId="42" applyFont="1" applyAlignment="1">
      <alignment horizontal="left"/>
    </xf>
    <xf numFmtId="37" fontId="6" fillId="0" borderId="0" xfId="42" applyFont="1" applyAlignment="1">
      <alignment horizontal="right"/>
    </xf>
    <xf numFmtId="37" fontId="6" fillId="0" borderId="0" xfId="42" applyFont="1" applyAlignment="1">
      <alignment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 horizontal="right"/>
    </xf>
    <xf numFmtId="39" fontId="0" fillId="0" borderId="0" xfId="42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82" fontId="6" fillId="0" borderId="0" xfId="0" applyNumberFormat="1" applyFont="1" applyAlignment="1">
      <alignment horizontal="right"/>
    </xf>
    <xf numFmtId="182" fontId="6" fillId="0" borderId="0" xfId="60" applyNumberFormat="1" applyFont="1" applyAlignment="1">
      <alignment horizontal="right"/>
    </xf>
    <xf numFmtId="182" fontId="5" fillId="0" borderId="0" xfId="0" applyNumberFormat="1" applyFont="1" applyAlignment="1">
      <alignment horizontal="right"/>
    </xf>
    <xf numFmtId="185" fontId="6" fillId="0" borderId="0" xfId="44" applyNumberFormat="1" applyFont="1" applyAlignment="1">
      <alignment horizontal="right"/>
    </xf>
    <xf numFmtId="183" fontId="6" fillId="0" borderId="0" xfId="0" applyNumberFormat="1" applyFont="1" applyAlignment="1">
      <alignment horizontal="right"/>
    </xf>
    <xf numFmtId="187" fontId="6" fillId="0" borderId="0" xfId="42" applyNumberFormat="1" applyFont="1" applyAlignment="1">
      <alignment horizontal="right"/>
    </xf>
    <xf numFmtId="187" fontId="5" fillId="0" borderId="0" xfId="42" applyNumberFormat="1" applyFont="1" applyAlignment="1">
      <alignment/>
    </xf>
    <xf numFmtId="39" fontId="10" fillId="0" borderId="0" xfId="0" applyFont="1" applyAlignment="1">
      <alignment horizontal="right"/>
    </xf>
    <xf numFmtId="39" fontId="10" fillId="0" borderId="0" xfId="0" applyFont="1" applyAlignment="1">
      <alignment/>
    </xf>
    <xf numFmtId="187" fontId="6" fillId="0" borderId="0" xfId="42" applyNumberFormat="1" applyFont="1" applyFill="1" applyAlignment="1">
      <alignment horizontal="right"/>
    </xf>
    <xf numFmtId="37" fontId="0" fillId="0" borderId="0" xfId="0" applyNumberFormat="1" applyFont="1" applyAlignment="1">
      <alignment horizontal="right"/>
    </xf>
    <xf numFmtId="202" fontId="0" fillId="0" borderId="0" xfId="44" applyNumberFormat="1" applyFont="1" applyFill="1" applyAlignment="1">
      <alignment horizontal="right"/>
    </xf>
    <xf numFmtId="202" fontId="0" fillId="0" borderId="0" xfId="44" applyNumberFormat="1" applyFont="1" applyAlignment="1">
      <alignment horizontal="right"/>
    </xf>
    <xf numFmtId="39" fontId="5" fillId="0" borderId="0" xfId="0" applyFont="1" applyFill="1" applyAlignment="1">
      <alignment horizontal="center"/>
    </xf>
    <xf numFmtId="39" fontId="9" fillId="34" borderId="0" xfId="0" applyFont="1" applyFill="1" applyAlignment="1">
      <alignment horizontal="center"/>
    </xf>
    <xf numFmtId="39" fontId="9" fillId="34" borderId="0" xfId="0" applyFont="1" applyFill="1" applyAlignment="1">
      <alignment horizontal="right"/>
    </xf>
    <xf numFmtId="39" fontId="10" fillId="34" borderId="0" xfId="0" applyFont="1" applyFill="1" applyAlignment="1">
      <alignment horizontal="right"/>
    </xf>
    <xf numFmtId="187" fontId="10" fillId="34" borderId="0" xfId="42" applyNumberFormat="1" applyFont="1" applyFill="1" applyAlignment="1">
      <alignment horizontal="right"/>
    </xf>
    <xf numFmtId="187" fontId="9" fillId="34" borderId="0" xfId="42" applyNumberFormat="1" applyFont="1" applyFill="1" applyAlignment="1">
      <alignment horizontal="right"/>
    </xf>
    <xf numFmtId="190" fontId="9" fillId="34" borderId="0" xfId="42" applyNumberFormat="1" applyFont="1" applyFill="1" applyAlignment="1">
      <alignment horizontal="right"/>
    </xf>
    <xf numFmtId="187" fontId="9" fillId="34" borderId="0" xfId="42" applyNumberFormat="1" applyFont="1" applyFill="1" applyAlignment="1">
      <alignment/>
    </xf>
    <xf numFmtId="187" fontId="9" fillId="34" borderId="0" xfId="0" applyNumberFormat="1" applyFont="1" applyFill="1" applyAlignment="1">
      <alignment/>
    </xf>
    <xf numFmtId="184" fontId="9" fillId="34" borderId="0" xfId="42" applyNumberFormat="1" applyFont="1" applyFill="1" applyAlignment="1">
      <alignment horizontal="right"/>
    </xf>
    <xf numFmtId="37" fontId="10" fillId="34" borderId="0" xfId="42" applyFont="1" applyFill="1" applyAlignment="1">
      <alignment horizontal="right"/>
    </xf>
    <xf numFmtId="182" fontId="9" fillId="34" borderId="0" xfId="60" applyNumberFormat="1" applyFont="1" applyFill="1" applyAlignment="1">
      <alignment horizontal="right"/>
    </xf>
    <xf numFmtId="185" fontId="9" fillId="34" borderId="0" xfId="44" applyNumberFormat="1" applyFont="1" applyFill="1" applyAlignment="1">
      <alignment horizontal="right"/>
    </xf>
    <xf numFmtId="184" fontId="9" fillId="34" borderId="0" xfId="0" applyNumberFormat="1" applyFont="1" applyFill="1" applyAlignment="1">
      <alignment horizontal="right"/>
    </xf>
    <xf numFmtId="43" fontId="9" fillId="34" borderId="0" xfId="60" applyNumberFormat="1" applyFont="1" applyFill="1" applyAlignment="1">
      <alignment horizontal="right"/>
    </xf>
    <xf numFmtId="187" fontId="9" fillId="34" borderId="0" xfId="42" applyNumberFormat="1" applyFont="1" applyFill="1" applyBorder="1" applyAlignment="1">
      <alignment horizontal="right"/>
    </xf>
    <xf numFmtId="185" fontId="9" fillId="34" borderId="0" xfId="44" applyNumberFormat="1" applyFont="1" applyFill="1" applyBorder="1" applyAlignment="1">
      <alignment horizontal="right"/>
    </xf>
    <xf numFmtId="187" fontId="9" fillId="34" borderId="0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0" fillId="0" borderId="0" xfId="60" applyNumberFormat="1" applyFont="1" applyAlignment="1">
      <alignment horizontal="left"/>
    </xf>
    <xf numFmtId="217" fontId="9" fillId="34" borderId="0" xfId="42" applyNumberFormat="1" applyFont="1" applyFill="1" applyAlignment="1">
      <alignment horizontal="right"/>
    </xf>
    <xf numFmtId="37" fontId="6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right"/>
    </xf>
    <xf numFmtId="9" fontId="14" fillId="0" borderId="0" xfId="60" applyFont="1" applyAlignment="1">
      <alignment horizontal="center"/>
    </xf>
    <xf numFmtId="1" fontId="5" fillId="0" borderId="0" xfId="43" applyFont="1" applyAlignment="1">
      <alignment horizontal="center"/>
    </xf>
    <xf numFmtId="1" fontId="0" fillId="0" borderId="0" xfId="43" applyFont="1" applyAlignment="1">
      <alignment horizontal="center"/>
    </xf>
    <xf numFmtId="37" fontId="0" fillId="0" borderId="0" xfId="0" applyNumberFormat="1" applyAlignment="1">
      <alignment/>
    </xf>
    <xf numFmtId="6" fontId="0" fillId="0" borderId="0" xfId="44" applyFont="1" applyAlignment="1">
      <alignment/>
    </xf>
    <xf numFmtId="39" fontId="11" fillId="0" borderId="0" xfId="0" applyFont="1" applyFill="1" applyAlignment="1">
      <alignment horizontal="right"/>
    </xf>
    <xf numFmtId="6" fontId="0" fillId="0" borderId="0" xfId="44" applyFont="1" applyAlignment="1">
      <alignment horizontal="right"/>
    </xf>
    <xf numFmtId="1" fontId="14" fillId="0" borderId="0" xfId="43" applyFont="1" applyAlignment="1">
      <alignment horizontal="center"/>
    </xf>
    <xf numFmtId="37" fontId="14" fillId="0" borderId="0" xfId="42" applyFont="1" applyAlignment="1">
      <alignment horizontal="center"/>
    </xf>
    <xf numFmtId="182" fontId="14" fillId="0" borderId="0" xfId="60" applyNumberFormat="1" applyFont="1" applyAlignment="1">
      <alignment horizontal="right"/>
    </xf>
    <xf numFmtId="182" fontId="4" fillId="0" borderId="0" xfId="60" applyNumberFormat="1" applyFont="1" applyAlignment="1">
      <alignment horizontal="right"/>
    </xf>
    <xf numFmtId="39" fontId="4" fillId="0" borderId="0" xfId="0" applyFont="1" applyAlignment="1">
      <alignment horizontal="right"/>
    </xf>
    <xf numFmtId="39" fontId="14" fillId="0" borderId="0" xfId="0" applyFont="1" applyFill="1" applyAlignment="1">
      <alignment horizontal="right"/>
    </xf>
    <xf numFmtId="6" fontId="14" fillId="0" borderId="0" xfId="44" applyFont="1" applyAlignment="1">
      <alignment horizontal="center"/>
    </xf>
    <xf numFmtId="37" fontId="14" fillId="0" borderId="0" xfId="0" applyNumberFormat="1" applyFont="1" applyFill="1" applyAlignment="1">
      <alignment horizontal="center"/>
    </xf>
    <xf numFmtId="1" fontId="0" fillId="0" borderId="0" xfId="43" applyFont="1" applyAlignment="1">
      <alignment/>
    </xf>
    <xf numFmtId="37" fontId="0" fillId="0" borderId="0" xfId="42" applyFont="1" applyAlignment="1">
      <alignment/>
    </xf>
    <xf numFmtId="39" fontId="10" fillId="0" borderId="0" xfId="0" applyFont="1" applyFill="1" applyAlignment="1">
      <alignment horizontal="right"/>
    </xf>
    <xf numFmtId="39" fontId="10" fillId="0" borderId="0" xfId="0" applyFont="1" applyFill="1" applyAlignment="1">
      <alignment/>
    </xf>
    <xf numFmtId="39" fontId="5" fillId="0" borderId="0" xfId="0" applyFont="1" applyFill="1" applyAlignment="1">
      <alignment horizontal="left"/>
    </xf>
    <xf numFmtId="37" fontId="15" fillId="34" borderId="0" xfId="42" applyFont="1" applyFill="1" applyAlignment="1">
      <alignment horizontal="right"/>
    </xf>
    <xf numFmtId="39" fontId="6" fillId="0" borderId="0" xfId="0" applyFont="1" applyAlignment="1">
      <alignment horizontal="center"/>
    </xf>
    <xf numFmtId="6" fontId="0" fillId="0" borderId="0" xfId="44" applyFont="1" applyAlignment="1">
      <alignment horizontal="center"/>
    </xf>
    <xf numFmtId="9" fontId="16" fillId="0" borderId="0" xfId="60" applyFont="1" applyAlignment="1">
      <alignment horizontal="center"/>
    </xf>
    <xf numFmtId="43" fontId="5" fillId="0" borderId="0" xfId="0" applyNumberFormat="1" applyFont="1" applyAlignment="1">
      <alignment horizontal="center"/>
    </xf>
    <xf numFmtId="6" fontId="0" fillId="0" borderId="0" xfId="44" applyFont="1" applyAlignment="1">
      <alignment/>
    </xf>
    <xf numFmtId="17" fontId="11" fillId="0" borderId="0" xfId="0" applyNumberFormat="1" applyFont="1" applyAlignment="1">
      <alignment horizontal="center"/>
    </xf>
    <xf numFmtId="184" fontId="11" fillId="0" borderId="0" xfId="42" applyNumberFormat="1" applyFont="1" applyAlignment="1">
      <alignment/>
    </xf>
    <xf numFmtId="6" fontId="11" fillId="0" borderId="0" xfId="44" applyFont="1" applyAlignment="1">
      <alignment/>
    </xf>
    <xf numFmtId="39" fontId="11" fillId="0" borderId="0" xfId="0" applyFont="1" applyAlignment="1">
      <alignment horizontal="right"/>
    </xf>
    <xf numFmtId="39" fontId="11" fillId="0" borderId="0" xfId="0" applyFont="1" applyAlignment="1">
      <alignment horizontal="center"/>
    </xf>
    <xf numFmtId="184" fontId="11" fillId="0" borderId="0" xfId="0" applyNumberFormat="1" applyFont="1" applyAlignment="1">
      <alignment/>
    </xf>
    <xf numFmtId="182" fontId="11" fillId="0" borderId="0" xfId="60" applyNumberFormat="1" applyFont="1" applyAlignment="1">
      <alignment horizontal="right"/>
    </xf>
    <xf numFmtId="39" fontId="11" fillId="0" borderId="0" xfId="0" applyFont="1" applyAlignment="1">
      <alignment/>
    </xf>
    <xf numFmtId="39" fontId="0" fillId="0" borderId="11" xfId="0" applyFont="1" applyBorder="1" applyAlignment="1">
      <alignment horizontal="center"/>
    </xf>
    <xf numFmtId="39" fontId="0" fillId="0" borderId="11" xfId="0" applyFont="1" applyBorder="1" applyAlignment="1">
      <alignment/>
    </xf>
    <xf numFmtId="184" fontId="0" fillId="0" borderId="11" xfId="0" applyNumberFormat="1" applyFont="1" applyBorder="1" applyAlignment="1">
      <alignment/>
    </xf>
    <xf numFmtId="185" fontId="0" fillId="0" borderId="11" xfId="44" applyNumberFormat="1" applyFont="1" applyBorder="1" applyAlignment="1">
      <alignment/>
    </xf>
    <xf numFmtId="39" fontId="11" fillId="0" borderId="11" xfId="0" applyFont="1" applyBorder="1" applyAlignment="1">
      <alignment horizontal="center"/>
    </xf>
    <xf numFmtId="219" fontId="11" fillId="0" borderId="11" xfId="60" applyNumberFormat="1" applyFont="1" applyBorder="1" applyAlignment="1">
      <alignment/>
    </xf>
    <xf numFmtId="39" fontId="11" fillId="0" borderId="11" xfId="0" applyFont="1" applyBorder="1" applyAlignment="1">
      <alignment/>
    </xf>
    <xf numFmtId="3" fontId="11" fillId="0" borderId="0" xfId="0" applyNumberFormat="1" applyFont="1" applyAlignment="1">
      <alignment/>
    </xf>
    <xf numFmtId="185" fontId="11" fillId="0" borderId="0" xfId="44" applyNumberFormat="1" applyFont="1" applyAlignment="1">
      <alignment/>
    </xf>
    <xf numFmtId="9" fontId="11" fillId="0" borderId="0" xfId="0" applyNumberFormat="1" applyFont="1" applyAlignment="1">
      <alignment/>
    </xf>
    <xf numFmtId="184" fontId="10" fillId="0" borderId="0" xfId="0" applyNumberFormat="1" applyFont="1" applyFill="1" applyAlignment="1">
      <alignment horizontal="center"/>
    </xf>
    <xf numFmtId="39" fontId="9" fillId="0" borderId="0" xfId="0" applyFont="1" applyFill="1" applyAlignment="1">
      <alignment/>
    </xf>
    <xf numFmtId="39" fontId="9" fillId="0" borderId="0" xfId="0" applyFont="1" applyFill="1" applyAlignment="1">
      <alignment horizontal="right"/>
    </xf>
    <xf numFmtId="39" fontId="9" fillId="0" borderId="0" xfId="0" applyFont="1" applyFill="1" applyAlignment="1">
      <alignment horizontal="center"/>
    </xf>
    <xf numFmtId="39" fontId="9" fillId="0" borderId="0" xfId="0" applyFont="1" applyFill="1" applyAlignment="1">
      <alignment horizontal="left"/>
    </xf>
    <xf numFmtId="39" fontId="9" fillId="0" borderId="0" xfId="61" applyFont="1" applyFill="1" applyBorder="1" applyAlignment="1">
      <alignment horizontal="center"/>
      <protection/>
    </xf>
    <xf numFmtId="39" fontId="9" fillId="0" borderId="0" xfId="61" applyFont="1" applyFill="1" applyBorder="1" applyAlignment="1">
      <alignment horizontal="right"/>
      <protection/>
    </xf>
    <xf numFmtId="182" fontId="9" fillId="0" borderId="0" xfId="61" applyNumberFormat="1" applyFont="1" applyFill="1" applyBorder="1" applyAlignment="1">
      <alignment horizontal="right"/>
      <protection/>
    </xf>
    <xf numFmtId="184" fontId="9" fillId="0" borderId="0" xfId="61" applyNumberFormat="1" applyFont="1" applyFill="1" applyBorder="1" applyAlignment="1">
      <alignment/>
      <protection/>
    </xf>
    <xf numFmtId="39" fontId="9" fillId="0" borderId="0" xfId="61" applyFont="1" applyFill="1" applyBorder="1" applyAlignment="1">
      <alignment/>
      <protection/>
    </xf>
    <xf numFmtId="39" fontId="9" fillId="0" borderId="0" xfId="61" applyFont="1" applyFill="1" applyBorder="1" applyAlignment="1">
      <alignment horizontal="left"/>
      <protection/>
    </xf>
    <xf numFmtId="39" fontId="0" fillId="0" borderId="0" xfId="61" applyFont="1" applyFill="1" applyBorder="1" applyAlignment="1">
      <alignment horizontal="center"/>
      <protection/>
    </xf>
    <xf numFmtId="39" fontId="9" fillId="0" borderId="0" xfId="0" applyFont="1" applyFill="1" applyBorder="1" applyAlignment="1">
      <alignment/>
    </xf>
    <xf numFmtId="39" fontId="9" fillId="35" borderId="0" xfId="61" applyFont="1" applyFill="1" applyBorder="1" applyAlignment="1">
      <alignment horizontal="center"/>
      <protection/>
    </xf>
    <xf numFmtId="39" fontId="9" fillId="35" borderId="0" xfId="61" applyFont="1" applyFill="1" applyBorder="1" applyAlignment="1">
      <alignment/>
      <protection/>
    </xf>
    <xf numFmtId="39" fontId="10" fillId="35" borderId="0" xfId="61" applyFont="1" applyFill="1" applyBorder="1" applyAlignment="1">
      <alignment horizontal="center"/>
      <protection/>
    </xf>
    <xf numFmtId="39" fontId="9" fillId="35" borderId="0" xfId="61" applyFont="1" applyFill="1" applyBorder="1" applyAlignment="1">
      <alignment horizontal="right"/>
      <protection/>
    </xf>
    <xf numFmtId="39" fontId="10" fillId="35" borderId="0" xfId="61" applyFont="1" applyFill="1" applyBorder="1" applyAlignment="1">
      <alignment horizontal="right"/>
      <protection/>
    </xf>
    <xf numFmtId="187" fontId="10" fillId="35" borderId="0" xfId="61" applyNumberFormat="1" applyFont="1" applyFill="1" applyBorder="1" applyAlignment="1">
      <alignment horizontal="right"/>
      <protection/>
    </xf>
    <xf numFmtId="187" fontId="9" fillId="35" borderId="0" xfId="61" applyNumberFormat="1" applyFont="1" applyFill="1" applyBorder="1" applyAlignment="1">
      <alignment horizontal="right"/>
      <protection/>
    </xf>
    <xf numFmtId="190" fontId="9" fillId="35" borderId="0" xfId="61" applyNumberFormat="1" applyFont="1" applyFill="1" applyBorder="1" applyAlignment="1">
      <alignment horizontal="right"/>
      <protection/>
    </xf>
    <xf numFmtId="187" fontId="9" fillId="35" borderId="0" xfId="61" applyNumberFormat="1" applyFont="1" applyFill="1" applyBorder="1" applyAlignment="1">
      <alignment/>
      <protection/>
    </xf>
    <xf numFmtId="184" fontId="9" fillId="35" borderId="0" xfId="61" applyNumberFormat="1" applyFont="1" applyFill="1" applyBorder="1" applyAlignment="1">
      <alignment horizontal="right"/>
      <protection/>
    </xf>
    <xf numFmtId="37" fontId="10" fillId="35" borderId="0" xfId="61" applyNumberFormat="1" applyFont="1" applyFill="1" applyBorder="1" applyAlignment="1">
      <alignment horizontal="right"/>
      <protection/>
    </xf>
    <xf numFmtId="37" fontId="9" fillId="35" borderId="0" xfId="61" applyNumberFormat="1" applyFont="1" applyFill="1" applyBorder="1" applyAlignment="1">
      <alignment horizontal="right"/>
      <protection/>
    </xf>
    <xf numFmtId="182" fontId="9" fillId="35" borderId="0" xfId="61" applyNumberFormat="1" applyFont="1" applyFill="1" applyBorder="1" applyAlignment="1">
      <alignment horizontal="right"/>
      <protection/>
    </xf>
    <xf numFmtId="185" fontId="9" fillId="35" borderId="0" xfId="61" applyNumberFormat="1" applyFont="1" applyFill="1" applyBorder="1" applyAlignment="1">
      <alignment horizontal="right"/>
      <protection/>
    </xf>
    <xf numFmtId="37" fontId="9" fillId="35" borderId="0" xfId="42" applyFont="1" applyFill="1" applyBorder="1" applyAlignment="1">
      <alignment horizontal="right"/>
    </xf>
    <xf numFmtId="43" fontId="9" fillId="35" borderId="0" xfId="61" applyNumberFormat="1" applyFont="1" applyFill="1" applyBorder="1" applyAlignment="1">
      <alignment horizontal="right"/>
      <protection/>
    </xf>
    <xf numFmtId="185" fontId="9" fillId="35" borderId="0" xfId="44" applyNumberFormat="1" applyFont="1" applyFill="1" applyBorder="1" applyAlignment="1">
      <alignment horizontal="center"/>
    </xf>
    <xf numFmtId="219" fontId="0" fillId="0" borderId="11" xfId="60" applyNumberFormat="1" applyFont="1" applyBorder="1" applyAlignment="1">
      <alignment/>
    </xf>
    <xf numFmtId="10" fontId="11" fillId="0" borderId="11" xfId="60" applyNumberFormat="1" applyFont="1" applyBorder="1" applyAlignment="1">
      <alignment/>
    </xf>
    <xf numFmtId="10" fontId="0" fillId="0" borderId="11" xfId="60" applyNumberFormat="1" applyFont="1" applyBorder="1" applyAlignment="1">
      <alignment/>
    </xf>
    <xf numFmtId="37" fontId="11" fillId="0" borderId="0" xfId="42" applyFont="1" applyAlignment="1">
      <alignment/>
    </xf>
    <xf numFmtId="9" fontId="11" fillId="0" borderId="0" xfId="60" applyFont="1" applyAlignment="1">
      <alignment/>
    </xf>
    <xf numFmtId="39" fontId="6" fillId="0" borderId="0" xfId="0" applyFont="1" applyAlignment="1">
      <alignment/>
    </xf>
    <xf numFmtId="187" fontId="7" fillId="0" borderId="0" xfId="42" applyNumberFormat="1" applyFont="1" applyAlignment="1">
      <alignment horizontal="left"/>
    </xf>
    <xf numFmtId="216" fontId="6" fillId="0" borderId="0" xfId="0" applyNumberFormat="1" applyFont="1" applyAlignment="1">
      <alignment horizontal="right"/>
    </xf>
    <xf numFmtId="1" fontId="0" fillId="0" borderId="0" xfId="43" applyFont="1" applyAlignment="1">
      <alignment horizontal="center"/>
    </xf>
    <xf numFmtId="39" fontId="7" fillId="0" borderId="0" xfId="0" applyFont="1" applyFill="1" applyAlignment="1">
      <alignment horizontal="right"/>
    </xf>
    <xf numFmtId="9" fontId="7" fillId="0" borderId="0" xfId="0" applyNumberFormat="1" applyFont="1" applyFill="1" applyAlignment="1">
      <alignment horizontal="right"/>
    </xf>
    <xf numFmtId="184" fontId="7" fillId="0" borderId="0" xfId="0" applyNumberFormat="1" applyFont="1" applyFill="1" applyAlignment="1">
      <alignment horizontal="right"/>
    </xf>
    <xf numFmtId="39" fontId="7" fillId="0" borderId="0" xfId="0" applyFont="1" applyAlignment="1" quotePrefix="1">
      <alignment horizontal="center"/>
    </xf>
    <xf numFmtId="184" fontId="5" fillId="36" borderId="0" xfId="42" applyNumberFormat="1" applyFont="1" applyFill="1" applyAlignment="1">
      <alignment horizontal="left"/>
    </xf>
    <xf numFmtId="39" fontId="5" fillId="36" borderId="0" xfId="0" applyFont="1" applyFill="1" applyAlignment="1">
      <alignment/>
    </xf>
    <xf numFmtId="39" fontId="5" fillId="36" borderId="0" xfId="0" applyFont="1" applyFill="1" applyAlignment="1">
      <alignment horizontal="left"/>
    </xf>
    <xf numFmtId="184" fontId="5" fillId="0" borderId="0" xfId="42" applyNumberFormat="1" applyFont="1" applyFill="1" applyAlignment="1">
      <alignment horizontal="left"/>
    </xf>
    <xf numFmtId="39" fontId="5" fillId="0" borderId="0" xfId="0" applyFont="1" applyFill="1" applyAlignment="1">
      <alignment/>
    </xf>
    <xf numFmtId="185" fontId="5" fillId="36" borderId="0" xfId="44" applyNumberFormat="1" applyFont="1" applyFill="1" applyAlignment="1">
      <alignment horizontal="right"/>
    </xf>
    <xf numFmtId="6" fontId="5" fillId="36" borderId="0" xfId="44" applyFont="1" applyFill="1" applyAlignment="1">
      <alignment horizontal="right"/>
    </xf>
    <xf numFmtId="39" fontId="5" fillId="36" borderId="0" xfId="0" applyFont="1" applyFill="1" applyBorder="1" applyAlignment="1">
      <alignment horizontal="left"/>
    </xf>
    <xf numFmtId="6" fontId="5" fillId="36" borderId="0" xfId="44" applyFont="1" applyFill="1" applyAlignment="1">
      <alignment/>
    </xf>
    <xf numFmtId="6" fontId="5" fillId="36" borderId="0" xfId="44" applyFont="1" applyFill="1" applyAlignment="1">
      <alignment horizontal="center"/>
    </xf>
    <xf numFmtId="1" fontId="5" fillId="36" borderId="0" xfId="43" applyFont="1" applyFill="1" applyAlignment="1">
      <alignment horizontal="center"/>
    </xf>
    <xf numFmtId="39" fontId="7" fillId="0" borderId="0" xfId="61" applyFont="1" applyFill="1" applyBorder="1" applyAlignment="1">
      <alignment horizontal="right"/>
      <protection/>
    </xf>
    <xf numFmtId="9" fontId="19" fillId="0" borderId="0" xfId="60" applyFont="1" applyAlignment="1">
      <alignment horizontal="center"/>
    </xf>
    <xf numFmtId="187" fontId="6" fillId="35" borderId="0" xfId="61" applyNumberFormat="1" applyFont="1" applyFill="1" applyBorder="1" applyAlignment="1">
      <alignment horizontal="right"/>
      <protection/>
    </xf>
    <xf numFmtId="6" fontId="6" fillId="0" borderId="0" xfId="44" applyFont="1" applyAlignment="1">
      <alignment horizontal="right"/>
    </xf>
    <xf numFmtId="37" fontId="18" fillId="0" borderId="0" xfId="0" applyNumberFormat="1" applyFont="1" applyAlignment="1">
      <alignment/>
    </xf>
    <xf numFmtId="37" fontId="9" fillId="31" borderId="0" xfId="0" applyNumberFormat="1" applyFont="1" applyFill="1" applyAlignment="1">
      <alignment horizontal="right"/>
    </xf>
    <xf numFmtId="37" fontId="14" fillId="0" borderId="0" xfId="0" applyNumberFormat="1" applyFont="1" applyFill="1" applyAlignment="1">
      <alignment horizontal="right"/>
    </xf>
    <xf numFmtId="37" fontId="14" fillId="35" borderId="0" xfId="61" applyNumberFormat="1" applyFont="1" applyFill="1" applyBorder="1" applyAlignment="1">
      <alignment horizontal="right"/>
      <protection/>
    </xf>
    <xf numFmtId="37" fontId="14" fillId="0" borderId="0" xfId="60" applyNumberFormat="1" applyFont="1" applyAlignment="1">
      <alignment horizontal="center"/>
    </xf>
    <xf numFmtId="37" fontId="15" fillId="35" borderId="0" xfId="61" applyNumberFormat="1" applyFont="1" applyFill="1" applyBorder="1" applyAlignment="1">
      <alignment horizontal="right"/>
      <protection/>
    </xf>
    <xf numFmtId="184" fontId="20" fillId="35" borderId="0" xfId="61" applyNumberFormat="1" applyFont="1" applyFill="1" applyBorder="1" applyAlignment="1">
      <alignment horizontal="right"/>
      <protection/>
    </xf>
    <xf numFmtId="185" fontId="0" fillId="35" borderId="0" xfId="44" applyNumberFormat="1" applyFont="1" applyFill="1" applyBorder="1" applyAlignment="1">
      <alignment horizontal="right"/>
    </xf>
    <xf numFmtId="184" fontId="9" fillId="0" borderId="0" xfId="0" applyNumberFormat="1" applyFont="1" applyFill="1" applyAlignment="1">
      <alignment/>
    </xf>
    <xf numFmtId="182" fontId="6" fillId="0" borderId="0" xfId="60" applyNumberFormat="1" applyFont="1" applyFill="1" applyAlignment="1">
      <alignment horizontal="right"/>
    </xf>
    <xf numFmtId="39" fontId="5" fillId="0" borderId="0" xfId="0" applyFont="1" applyAlignment="1">
      <alignment horizontal="right"/>
    </xf>
    <xf numFmtId="39" fontId="5" fillId="37" borderId="0" xfId="0" applyFont="1" applyFill="1" applyAlignment="1">
      <alignment horizontal="right"/>
    </xf>
    <xf numFmtId="189" fontId="17" fillId="37" borderId="0" xfId="0" applyNumberFormat="1" applyFont="1" applyFill="1" applyAlignment="1">
      <alignment horizontal="left"/>
    </xf>
    <xf numFmtId="39" fontId="0" fillId="37" borderId="0" xfId="0" applyFill="1" applyAlignment="1">
      <alignment/>
    </xf>
    <xf numFmtId="184" fontId="0" fillId="37" borderId="0" xfId="42" applyNumberFormat="1" applyFont="1" applyFill="1" applyAlignment="1">
      <alignment/>
    </xf>
    <xf numFmtId="39" fontId="0" fillId="37" borderId="0" xfId="0" applyFill="1" applyAlignment="1">
      <alignment horizontal="left"/>
    </xf>
    <xf numFmtId="39" fontId="0" fillId="37" borderId="0" xfId="0" applyFill="1" applyAlignment="1">
      <alignment horizontal="center"/>
    </xf>
    <xf numFmtId="1" fontId="5" fillId="37" borderId="0" xfId="43" applyFont="1" applyFill="1" applyAlignment="1">
      <alignment horizontal="center"/>
    </xf>
    <xf numFmtId="1" fontId="5" fillId="37" borderId="0" xfId="43" applyFont="1" applyFill="1" applyAlignment="1">
      <alignment/>
    </xf>
    <xf numFmtId="182" fontId="0" fillId="37" borderId="0" xfId="60" applyNumberFormat="1" applyFont="1" applyFill="1" applyAlignment="1">
      <alignment/>
    </xf>
    <xf numFmtId="39" fontId="5" fillId="37" borderId="0" xfId="0" applyFont="1" applyFill="1" applyAlignment="1">
      <alignment horizontal="center"/>
    </xf>
    <xf numFmtId="39" fontId="5" fillId="37" borderId="0" xfId="0" applyFont="1" applyFill="1" applyAlignment="1">
      <alignment/>
    </xf>
    <xf numFmtId="185" fontId="5" fillId="37" borderId="0" xfId="44" applyNumberFormat="1" applyFont="1" applyFill="1" applyAlignment="1">
      <alignment/>
    </xf>
    <xf numFmtId="182" fontId="5" fillId="37" borderId="0" xfId="60" applyNumberFormat="1" applyFont="1" applyFill="1" applyAlignment="1">
      <alignment/>
    </xf>
    <xf numFmtId="184" fontId="5" fillId="37" borderId="0" xfId="42" applyNumberFormat="1" applyFont="1" applyFill="1" applyAlignment="1">
      <alignment/>
    </xf>
    <xf numFmtId="184" fontId="5" fillId="37" borderId="0" xfId="42" applyNumberFormat="1" applyFont="1" applyFill="1" applyAlignment="1">
      <alignment horizontal="left"/>
    </xf>
    <xf numFmtId="39" fontId="5" fillId="37" borderId="0" xfId="0" applyFont="1" applyFill="1" applyAlignment="1">
      <alignment horizontal="left"/>
    </xf>
    <xf numFmtId="39" fontId="0" fillId="37" borderId="0" xfId="0" applyFont="1" applyFill="1" applyAlignment="1">
      <alignment horizontal="left"/>
    </xf>
    <xf numFmtId="39" fontId="3" fillId="37" borderId="0" xfId="0" applyFont="1" applyFill="1" applyAlignment="1">
      <alignment/>
    </xf>
    <xf numFmtId="182" fontId="3" fillId="37" borderId="0" xfId="60" applyNumberFormat="1" applyFont="1" applyFill="1" applyAlignment="1">
      <alignment/>
    </xf>
    <xf numFmtId="185" fontId="0" fillId="37" borderId="0" xfId="44" applyNumberFormat="1" applyFont="1" applyFill="1" applyAlignment="1">
      <alignment/>
    </xf>
    <xf numFmtId="182" fontId="0" fillId="37" borderId="0" xfId="60" applyNumberFormat="1" applyFont="1" applyFill="1" applyAlignment="1">
      <alignment horizontal="right"/>
    </xf>
    <xf numFmtId="39" fontId="0" fillId="37" borderId="0" xfId="0" applyFill="1" applyAlignment="1">
      <alignment horizontal="right"/>
    </xf>
    <xf numFmtId="185" fontId="0" fillId="37" borderId="0" xfId="44" applyNumberFormat="1" applyFont="1" applyFill="1" applyAlignment="1">
      <alignment/>
    </xf>
    <xf numFmtId="39" fontId="0" fillId="37" borderId="0" xfId="0" applyFont="1" applyFill="1" applyAlignment="1">
      <alignment/>
    </xf>
    <xf numFmtId="182" fontId="0" fillId="37" borderId="0" xfId="60" applyNumberFormat="1" applyFont="1" applyFill="1" applyAlignment="1">
      <alignment/>
    </xf>
    <xf numFmtId="184" fontId="0" fillId="37" borderId="0" xfId="42" applyNumberFormat="1" applyFont="1" applyFill="1" applyAlignment="1">
      <alignment horizontal="left"/>
    </xf>
    <xf numFmtId="185" fontId="0" fillId="37" borderId="0" xfId="44" applyNumberFormat="1" applyFont="1" applyFill="1" applyAlignment="1">
      <alignment horizontal="right"/>
    </xf>
    <xf numFmtId="189" fontId="4" fillId="37" borderId="0" xfId="0" applyNumberFormat="1" applyFont="1" applyFill="1" applyAlignment="1">
      <alignment horizontal="left"/>
    </xf>
    <xf numFmtId="37" fontId="5" fillId="37" borderId="0" xfId="42" applyFont="1" applyFill="1" applyAlignment="1">
      <alignment/>
    </xf>
    <xf numFmtId="37" fontId="0" fillId="37" borderId="0" xfId="42" applyFont="1" applyFill="1" applyAlignment="1">
      <alignment/>
    </xf>
    <xf numFmtId="37" fontId="3" fillId="37" borderId="0" xfId="42" applyFont="1" applyFill="1" applyAlignment="1">
      <alignment/>
    </xf>
    <xf numFmtId="37" fontId="0" fillId="37" borderId="0" xfId="42" applyFont="1" applyFill="1" applyAlignment="1">
      <alignment/>
    </xf>
    <xf numFmtId="37" fontId="0" fillId="37" borderId="0" xfId="42" applyFont="1" applyFill="1" applyAlignment="1">
      <alignment horizontal="right"/>
    </xf>
    <xf numFmtId="184" fontId="0" fillId="37" borderId="0" xfId="42" applyNumberFormat="1" applyFont="1" applyFill="1" applyAlignment="1">
      <alignment/>
    </xf>
    <xf numFmtId="39" fontId="21" fillId="0" borderId="0" xfId="0" applyFont="1" applyAlignment="1">
      <alignment horizontal="center"/>
    </xf>
    <xf numFmtId="187" fontId="23" fillId="0" borderId="0" xfId="42" applyNumberFormat="1" applyFont="1" applyAlignment="1">
      <alignment horizontal="center"/>
    </xf>
    <xf numFmtId="187" fontId="1" fillId="0" borderId="0" xfId="42" applyNumberFormat="1" applyFont="1" applyAlignment="1">
      <alignment horizontal="center"/>
    </xf>
    <xf numFmtId="190" fontId="1" fillId="0" borderId="0" xfId="42" applyNumberFormat="1" applyFont="1" applyAlignment="1">
      <alignment horizontal="left"/>
    </xf>
    <xf numFmtId="39" fontId="1" fillId="0" borderId="0" xfId="0" applyFont="1" applyAlignment="1">
      <alignment horizontal="center"/>
    </xf>
    <xf numFmtId="184" fontId="1" fillId="0" borderId="0" xfId="42" applyNumberFormat="1" applyFont="1" applyAlignment="1">
      <alignment horizontal="center"/>
    </xf>
    <xf numFmtId="39" fontId="24" fillId="0" borderId="0" xfId="0" applyFont="1" applyAlignment="1">
      <alignment horizontal="center"/>
    </xf>
    <xf numFmtId="184" fontId="21" fillId="0" borderId="0" xfId="42" applyNumberFormat="1" applyFont="1" applyAlignment="1">
      <alignment horizontal="center"/>
    </xf>
    <xf numFmtId="39" fontId="1" fillId="0" borderId="0" xfId="0" applyFont="1" applyBorder="1" applyAlignment="1">
      <alignment horizontal="center"/>
    </xf>
    <xf numFmtId="187" fontId="1" fillId="31" borderId="0" xfId="42" applyNumberFormat="1" applyFont="1" applyFill="1" applyBorder="1" applyAlignment="1">
      <alignment horizontal="center"/>
    </xf>
    <xf numFmtId="187" fontId="1" fillId="0" borderId="0" xfId="42" applyNumberFormat="1" applyFont="1" applyBorder="1" applyAlignment="1">
      <alignment horizontal="center"/>
    </xf>
    <xf numFmtId="187" fontId="1" fillId="0" borderId="0" xfId="42" applyNumberFormat="1" applyFont="1" applyBorder="1" applyAlignment="1">
      <alignment horizontal="right"/>
    </xf>
    <xf numFmtId="17" fontId="0" fillId="0" borderId="0" xfId="0" applyNumberFormat="1" applyAlignment="1" quotePrefix="1">
      <alignment horizontal="center"/>
    </xf>
    <xf numFmtId="17" fontId="11" fillId="0" borderId="0" xfId="0" applyNumberFormat="1" applyFont="1" applyAlignment="1" quotePrefix="1">
      <alignment horizontal="center"/>
    </xf>
    <xf numFmtId="17" fontId="11" fillId="0" borderId="12" xfId="0" applyNumberFormat="1" applyFont="1" applyBorder="1" applyAlignment="1">
      <alignment horizontal="center"/>
    </xf>
    <xf numFmtId="17" fontId="60" fillId="0" borderId="0" xfId="0" applyNumberFormat="1" applyFont="1" applyAlignment="1">
      <alignment horizontal="center"/>
    </xf>
    <xf numFmtId="17" fontId="11" fillId="0" borderId="0" xfId="0" applyNumberFormat="1" applyFont="1" applyBorder="1" applyAlignment="1">
      <alignment horizontal="center"/>
    </xf>
    <xf numFmtId="17" fontId="60" fillId="0" borderId="0" xfId="0" applyNumberFormat="1" applyFont="1" applyBorder="1" applyAlignment="1">
      <alignment horizontal="center"/>
    </xf>
    <xf numFmtId="17" fontId="61" fillId="0" borderId="0" xfId="0" applyNumberFormat="1" applyFont="1" applyAlignment="1">
      <alignment horizontal="center"/>
    </xf>
    <xf numFmtId="17" fontId="60" fillId="0" borderId="12" xfId="0" applyNumberFormat="1" applyFont="1" applyBorder="1" applyAlignment="1">
      <alignment horizontal="center"/>
    </xf>
    <xf numFmtId="17" fontId="61" fillId="0" borderId="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item" xfId="55"/>
    <cellStyle name="Linked Cell" xfId="56"/>
    <cellStyle name="Neutral" xfId="57"/>
    <cellStyle name="Note" xfId="58"/>
    <cellStyle name="Output" xfId="59"/>
    <cellStyle name="Percent" xfId="60"/>
    <cellStyle name="summary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0.77734375" style="0" customWidth="1"/>
    <col min="2" max="2" width="2.77734375" style="0" customWidth="1"/>
    <col min="3" max="3" width="16.77734375" style="3" customWidth="1"/>
    <col min="4" max="4" width="8.77734375" style="3" customWidth="1"/>
    <col min="5" max="5" width="2.77734375" style="0" customWidth="1"/>
    <col min="6" max="6" width="16.77734375" style="3" customWidth="1"/>
    <col min="7" max="8" width="8.77734375" style="3" customWidth="1"/>
    <col min="9" max="9" width="2.77734375" style="0" customWidth="1"/>
    <col min="10" max="10" width="16.77734375" style="3" customWidth="1"/>
    <col min="11" max="12" width="8.77734375" style="3" customWidth="1"/>
    <col min="13" max="14" width="14.77734375" style="0" customWidth="1"/>
  </cols>
  <sheetData>
    <row r="1" spans="1:10" ht="15.75">
      <c r="A1" s="7" t="s">
        <v>285</v>
      </c>
      <c r="B1" s="7"/>
      <c r="J1" s="5"/>
    </row>
    <row r="2" spans="1:10" ht="15">
      <c r="A2" s="2"/>
      <c r="B2" s="2"/>
      <c r="J2" s="5"/>
    </row>
    <row r="3" spans="1:15" s="158" customFormat="1" ht="15.75">
      <c r="A3" s="238" t="s">
        <v>286</v>
      </c>
      <c r="B3" s="238"/>
      <c r="C3" s="253">
        <v>2004</v>
      </c>
      <c r="D3" s="157">
        <v>2004</v>
      </c>
      <c r="E3" s="157"/>
      <c r="F3" s="253">
        <v>2005</v>
      </c>
      <c r="G3" s="157">
        <v>2005</v>
      </c>
      <c r="H3" s="157" t="s">
        <v>132</v>
      </c>
      <c r="I3" s="157"/>
      <c r="J3" s="253">
        <v>2006</v>
      </c>
      <c r="K3" s="157">
        <v>2006</v>
      </c>
      <c r="L3" s="157" t="s">
        <v>132</v>
      </c>
      <c r="M3" s="157"/>
      <c r="N3" s="157"/>
      <c r="O3" s="157"/>
    </row>
    <row r="4" spans="3:12" s="163" customFormat="1" ht="15" customHeight="1">
      <c r="C4" s="163" t="s">
        <v>282</v>
      </c>
      <c r="D4" s="163" t="s">
        <v>220</v>
      </c>
      <c r="F4" s="163" t="s">
        <v>282</v>
      </c>
      <c r="G4" s="163" t="s">
        <v>220</v>
      </c>
      <c r="H4" s="163" t="s">
        <v>221</v>
      </c>
      <c r="J4" s="163" t="s">
        <v>282</v>
      </c>
      <c r="K4" s="163" t="s">
        <v>220</v>
      </c>
      <c r="L4" s="163" t="s">
        <v>221</v>
      </c>
    </row>
    <row r="5" spans="1:2" ht="15">
      <c r="A5" s="1"/>
      <c r="B5" s="1"/>
    </row>
    <row r="6" spans="1:12" ht="15.75">
      <c r="A6" s="7" t="s">
        <v>14</v>
      </c>
      <c r="B6" s="7"/>
      <c r="H6" s="6"/>
      <c r="J6" s="5"/>
      <c r="L6" s="6"/>
    </row>
    <row r="7" spans="1:12" ht="15.75">
      <c r="A7" s="243" t="s">
        <v>15</v>
      </c>
      <c r="B7" s="246"/>
      <c r="C7" s="248">
        <f>'2004'!M20</f>
        <v>11463805.196374621</v>
      </c>
      <c r="D7" s="165">
        <f>'2004'!N20</f>
        <v>1</v>
      </c>
      <c r="F7" s="248">
        <f>'2005'!M20</f>
        <v>21868853.912743058</v>
      </c>
      <c r="G7" s="165">
        <f>'2005'!N20</f>
        <v>1</v>
      </c>
      <c r="H7" s="165">
        <f aca="true" t="shared" si="0" ref="H7:H21">(F7/C7)-1</f>
        <v>0.9076435387840496</v>
      </c>
      <c r="J7" s="248">
        <f>'2006'!M20</f>
        <v>38107836.99585036</v>
      </c>
      <c r="K7" s="165">
        <f>'2006'!N20</f>
        <v>1</v>
      </c>
      <c r="L7" s="165">
        <f aca="true" t="shared" si="1" ref="L7:L15">(J7/F7)-1</f>
        <v>0.7425621455930431</v>
      </c>
    </row>
    <row r="8" spans="1:12" ht="15">
      <c r="A8" s="26" t="s">
        <v>134</v>
      </c>
      <c r="B8" s="26"/>
      <c r="C8" s="5">
        <f>'2004'!M21</f>
        <v>94862988</v>
      </c>
      <c r="D8" s="165">
        <f>'2004'!N21</f>
        <v>1</v>
      </c>
      <c r="F8" s="5">
        <f>'2005'!M21</f>
        <v>180964766.12794885</v>
      </c>
      <c r="G8" s="165">
        <f>'2005'!N21</f>
        <v>1</v>
      </c>
      <c r="H8" s="165">
        <f t="shared" si="0"/>
        <v>0.9076435387840498</v>
      </c>
      <c r="J8" s="5">
        <f>'2006'!M21</f>
        <v>315342351.1406617</v>
      </c>
      <c r="K8" s="165">
        <f>'2006'!N21</f>
        <v>1</v>
      </c>
      <c r="L8" s="165">
        <f t="shared" si="1"/>
        <v>0.7425621455930427</v>
      </c>
    </row>
    <row r="9" spans="1:12" ht="15">
      <c r="A9" s="26" t="s">
        <v>17</v>
      </c>
      <c r="B9" s="26"/>
      <c r="C9" s="5">
        <f>'2004'!M22</f>
        <v>2889477.814273671</v>
      </c>
      <c r="D9" s="165">
        <f>'2004'!N22</f>
        <v>0.030459485571692837</v>
      </c>
      <c r="F9" s="5">
        <f>'2005'!M22</f>
        <v>5199953.13116932</v>
      </c>
      <c r="G9" s="165">
        <f>'2005'!N22</f>
        <v>0.028734616369977563</v>
      </c>
      <c r="H9" s="165">
        <f t="shared" si="0"/>
        <v>0.7996169084539015</v>
      </c>
      <c r="J9" s="5">
        <f>'2006'!M22</f>
        <v>9756682.726469662</v>
      </c>
      <c r="K9" s="165">
        <f>'2006'!N22</f>
        <v>0.030939969500378313</v>
      </c>
      <c r="L9" s="165">
        <f t="shared" si="1"/>
        <v>0.8763020512601551</v>
      </c>
    </row>
    <row r="10" spans="1:12" ht="15">
      <c r="A10" s="26" t="s">
        <v>18</v>
      </c>
      <c r="B10" s="26"/>
      <c r="C10" s="5">
        <f>'2004'!M23</f>
        <v>47907207.54231658</v>
      </c>
      <c r="D10" s="165">
        <f>'2004'!N23</f>
        <v>0.5050147433930352</v>
      </c>
      <c r="F10" s="5">
        <f>'2005'!M23</f>
        <v>85802950.74577114</v>
      </c>
      <c r="G10" s="165">
        <f>'2005'!N23</f>
        <v>0.4741417491463794</v>
      </c>
      <c r="H10" s="165">
        <f t="shared" si="0"/>
        <v>0.7910238385316268</v>
      </c>
      <c r="J10" s="5">
        <f>'2006'!M23</f>
        <v>149608333.40008044</v>
      </c>
      <c r="K10" s="165">
        <f>'2006'!N23</f>
        <v>0.47443146427657</v>
      </c>
      <c r="L10" s="165">
        <f t="shared" si="1"/>
        <v>0.7436269044331671</v>
      </c>
    </row>
    <row r="11" spans="1:12" ht="15">
      <c r="A11" s="12" t="s">
        <v>19</v>
      </c>
      <c r="B11" s="12"/>
      <c r="C11" s="5">
        <f>'2004'!M24</f>
        <v>3139477.8142736703</v>
      </c>
      <c r="D11" s="165">
        <f>'2004'!N24</f>
        <v>0.03309486534699572</v>
      </c>
      <c r="F11" s="5">
        <f>'2005'!M24</f>
        <v>5199953.131169322</v>
      </c>
      <c r="G11" s="165">
        <f>'2005'!N24</f>
        <v>0.028734616369977574</v>
      </c>
      <c r="H11" s="165">
        <f t="shared" si="0"/>
        <v>0.6563114755988011</v>
      </c>
      <c r="J11" s="5">
        <f>'2006'!M24</f>
        <v>9756682.72646966</v>
      </c>
      <c r="K11" s="165">
        <f>'2006'!N24</f>
        <v>0.03093996950037831</v>
      </c>
      <c r="L11" s="165">
        <f t="shared" si="1"/>
        <v>0.8763020512601543</v>
      </c>
    </row>
    <row r="12" spans="1:12" ht="15">
      <c r="A12" s="152" t="s">
        <v>20</v>
      </c>
      <c r="B12" s="152"/>
      <c r="C12" s="6">
        <f>'2004'!N25</f>
        <v>0.43143090568827624</v>
      </c>
      <c r="D12" s="165">
        <f>'2004'!N25</f>
        <v>0.43143090568827624</v>
      </c>
      <c r="F12" s="6">
        <f>'2005'!N25</f>
        <v>0.4683890181136655</v>
      </c>
      <c r="G12" s="165">
        <f>'2005'!N25</f>
        <v>0.4683890181136655</v>
      </c>
      <c r="H12" s="165">
        <f t="shared" si="0"/>
        <v>0.08566403551092083</v>
      </c>
      <c r="J12" s="6">
        <f>'2005'!N25</f>
        <v>0.4683890181136655</v>
      </c>
      <c r="K12" s="165">
        <f>'2006'!N25</f>
        <v>0.46368859672267343</v>
      </c>
      <c r="L12" s="165">
        <f t="shared" si="1"/>
        <v>0</v>
      </c>
    </row>
    <row r="13" spans="1:12" ht="15">
      <c r="A13" s="12" t="s">
        <v>21</v>
      </c>
      <c r="B13" s="12"/>
      <c r="C13" s="5">
        <f>'2004'!M26</f>
        <v>4044519.52</v>
      </c>
      <c r="D13" s="165">
        <f>'2004'!N26</f>
        <v>0.042635379775302885</v>
      </c>
      <c r="F13" s="5">
        <f>'2005'!M26</f>
        <v>7377794.31137022</v>
      </c>
      <c r="G13" s="165">
        <f>'2005'!N26</f>
        <v>0.04076923076923076</v>
      </c>
      <c r="H13" s="165">
        <f t="shared" si="0"/>
        <v>0.8241460511903327</v>
      </c>
      <c r="J13" s="5">
        <f>'2006'!M26</f>
        <v>12856265.084965441</v>
      </c>
      <c r="K13" s="165">
        <f>'2006'!N26</f>
        <v>0.04076923076923077</v>
      </c>
      <c r="L13" s="165">
        <f t="shared" si="1"/>
        <v>0.7425621455930436</v>
      </c>
    </row>
    <row r="14" spans="1:12" ht="15">
      <c r="A14" s="75" t="s">
        <v>22</v>
      </c>
      <c r="B14" s="75"/>
      <c r="C14" s="5">
        <f>'2004'!M27</f>
        <v>3921374.472</v>
      </c>
      <c r="D14" s="165">
        <f>'2004'!N27</f>
        <v>0.04133724389959127</v>
      </c>
      <c r="F14" s="5">
        <f>'2005'!M27</f>
        <v>13756685.272647478</v>
      </c>
      <c r="G14" s="165">
        <f>'2005'!N27</f>
        <v>0.07601858398734364</v>
      </c>
      <c r="H14" s="165">
        <f t="shared" si="0"/>
        <v>2.5081284307007845</v>
      </c>
      <c r="J14" s="5">
        <f>'2006'!M27</f>
        <v>23963181.041935727</v>
      </c>
      <c r="K14" s="165">
        <f>'2006'!N27</f>
        <v>0.07599100138391085</v>
      </c>
      <c r="L14" s="165">
        <f t="shared" si="1"/>
        <v>0.7419298738760784</v>
      </c>
    </row>
    <row r="15" spans="1:12" ht="15">
      <c r="A15" s="12" t="s">
        <v>23</v>
      </c>
      <c r="B15" s="12"/>
      <c r="C15" s="5">
        <f>'2004'!M28</f>
        <v>2061148.1903484098</v>
      </c>
      <c r="D15" s="165">
        <f>'2004'!N28</f>
        <v>0.021727633018985337</v>
      </c>
      <c r="F15" s="5">
        <f>'2005'!M28</f>
        <v>5544624.095133847</v>
      </c>
      <c r="G15" s="165">
        <f>'2005'!N28</f>
        <v>0.030639246599051168</v>
      </c>
      <c r="H15" s="165">
        <f t="shared" si="0"/>
        <v>1.6900657221529527</v>
      </c>
      <c r="J15" s="5">
        <f>'2006'!M28</f>
        <v>9651539.037084881</v>
      </c>
      <c r="K15" s="165">
        <f>'2006'!N28</f>
        <v>0.030606542388528436</v>
      </c>
      <c r="L15" s="165">
        <f t="shared" si="1"/>
        <v>0.7407021416574309</v>
      </c>
    </row>
    <row r="16" spans="1:12" ht="15">
      <c r="A16" s="12" t="s">
        <v>206</v>
      </c>
      <c r="B16" s="12"/>
      <c r="C16" s="5">
        <f>'2004'!M29</f>
        <v>69487.33787658089</v>
      </c>
      <c r="D16" s="165">
        <f>'2004'!N29</f>
        <v>0.0007325020995183168</v>
      </c>
      <c r="F16" s="5">
        <f>'2005'!M29</f>
        <v>-484071.1868428819</v>
      </c>
      <c r="G16" s="165">
        <f>'2005'!N29</f>
        <v>-0.0026749471579491087</v>
      </c>
      <c r="H16" s="165" t="s">
        <v>219</v>
      </c>
      <c r="J16" s="5">
        <f>'2006'!M29</f>
        <v>-1299158.9182238155</v>
      </c>
      <c r="K16" s="165">
        <f>'2006'!N29</f>
        <v>-0.004119836468284313</v>
      </c>
      <c r="L16" s="165" t="s">
        <v>219</v>
      </c>
    </row>
    <row r="17" spans="1:12" ht="15">
      <c r="A17" s="12" t="s">
        <v>24</v>
      </c>
      <c r="B17" s="12"/>
      <c r="C17" s="5">
        <f>'2004'!M30</f>
        <v>666666.9083585095</v>
      </c>
      <c r="D17" s="165">
        <f>'2004'!N30</f>
        <v>0.007027681948606864</v>
      </c>
      <c r="F17" s="5">
        <f>'2005'!M30</f>
        <v>2222222.222222222</v>
      </c>
      <c r="G17" s="165">
        <f>'2005'!N30</f>
        <v>0.012279861266756358</v>
      </c>
      <c r="H17" s="165">
        <f t="shared" si="0"/>
        <v>2.333332124874557</v>
      </c>
      <c r="J17" s="5">
        <f>'2006'!M30</f>
        <v>2222222.222222222</v>
      </c>
      <c r="K17" s="165">
        <f>'2006'!N30</f>
        <v>0.007047014821142679</v>
      </c>
      <c r="L17" s="165">
        <f>(J17/F17)-1</f>
        <v>0</v>
      </c>
    </row>
    <row r="18" spans="1:12" ht="15">
      <c r="A18" s="12" t="s">
        <v>25</v>
      </c>
      <c r="B18" s="12"/>
      <c r="C18" s="5">
        <f>'2004'!M31</f>
        <v>2324965.5944676376</v>
      </c>
      <c r="D18" s="165">
        <f>'2004'!N31</f>
        <v>0.024508669223740218</v>
      </c>
      <c r="F18" s="5">
        <f>'2005'!M31</f>
        <v>4249710.581278956</v>
      </c>
      <c r="G18" s="165">
        <f>'2005'!N31</f>
        <v>0.023483635362887445</v>
      </c>
      <c r="H18" s="165">
        <f t="shared" si="0"/>
        <v>0.8278595568860618</v>
      </c>
      <c r="J18" s="5">
        <f>'2006'!M31</f>
        <v>8013875.07087615</v>
      </c>
      <c r="K18" s="165">
        <f>'2006'!N31</f>
        <v>0.02541325337966253</v>
      </c>
      <c r="L18" s="165">
        <f>(J18/F18)-1</f>
        <v>0.8857460802576267</v>
      </c>
    </row>
    <row r="19" spans="1:12" ht="15">
      <c r="A19" s="12" t="s">
        <v>26</v>
      </c>
      <c r="B19" s="12"/>
      <c r="C19" s="5">
        <f>'2004'!M32</f>
        <v>27043605.68608494</v>
      </c>
      <c r="D19" s="165">
        <f>'2004'!N32</f>
        <v>0.2850806859054971</v>
      </c>
      <c r="F19" s="5">
        <f>'2005'!M32</f>
        <v>50788427.472561836</v>
      </c>
      <c r="G19" s="165">
        <f>'2005'!N32</f>
        <v>0.2806536794938995</v>
      </c>
      <c r="H19" s="165">
        <f t="shared" si="0"/>
        <v>0.8780198196239266</v>
      </c>
      <c r="J19" s="5">
        <f>'2006'!M32</f>
        <v>88016153.30735135</v>
      </c>
      <c r="K19" s="165">
        <f>'2006'!N32</f>
        <v>0.27911301158559204</v>
      </c>
      <c r="L19" s="165">
        <f>(J19/F19)-1</f>
        <v>0.7329962294048498</v>
      </c>
    </row>
    <row r="20" spans="1:12" ht="15.75">
      <c r="A20" s="245" t="s">
        <v>27</v>
      </c>
      <c r="B20" s="12"/>
      <c r="C20" s="248">
        <f>'2004'!M33</f>
        <v>3268109.448469479</v>
      </c>
      <c r="D20" s="165">
        <f>'2004'!N33</f>
        <v>0.2850806859054971</v>
      </c>
      <c r="F20" s="249">
        <f>'2005'!M33</f>
        <v>6137574.316925901</v>
      </c>
      <c r="G20" s="165">
        <f>'2005'!N33</f>
        <v>0.2806536794938995</v>
      </c>
      <c r="H20" s="165">
        <f t="shared" si="0"/>
        <v>0.8780198196239264</v>
      </c>
      <c r="J20" s="248">
        <f>'2006'!M33</f>
        <v>10636393.148924636</v>
      </c>
      <c r="K20" s="165">
        <f>'2006'!N33</f>
        <v>0.27911301158559204</v>
      </c>
      <c r="L20" s="165">
        <f>(J20/F20)-1</f>
        <v>0.7329962294048502</v>
      </c>
    </row>
    <row r="21" spans="1:12" ht="15">
      <c r="A21" s="12" t="s">
        <v>28</v>
      </c>
      <c r="B21" s="12"/>
      <c r="C21" s="6">
        <f>'2004'!N34</f>
        <v>0.2850806859054971</v>
      </c>
      <c r="D21" s="165">
        <f>'2004'!N34</f>
        <v>0.2850806859054971</v>
      </c>
      <c r="F21" s="6">
        <f>'2005'!N34</f>
        <v>0.2806536794938995</v>
      </c>
      <c r="G21" s="165">
        <f>'2005'!N34</f>
        <v>0.2806536794938995</v>
      </c>
      <c r="H21" s="165">
        <f t="shared" si="0"/>
        <v>-0.015528959450676783</v>
      </c>
      <c r="J21" s="6">
        <f>'2006'!N34</f>
        <v>0.27911301158559204</v>
      </c>
      <c r="K21" s="165">
        <f>'2006'!N34</f>
        <v>0.27911301158559204</v>
      </c>
      <c r="L21" s="165">
        <f>(J21/F21)-1</f>
        <v>-0.005489569604381295</v>
      </c>
    </row>
    <row r="22" spans="1:12" ht="15">
      <c r="A22" s="12"/>
      <c r="B22" s="12"/>
      <c r="C22" s="6"/>
      <c r="D22" s="166"/>
      <c r="F22" s="6"/>
      <c r="G22" s="166"/>
      <c r="H22" s="166"/>
      <c r="J22" s="6"/>
      <c r="K22" s="166"/>
      <c r="L22" s="166"/>
    </row>
    <row r="23" spans="1:12" ht="15">
      <c r="A23" s="2"/>
      <c r="B23" s="2"/>
      <c r="D23" s="167"/>
      <c r="G23" s="167"/>
      <c r="H23" s="166"/>
      <c r="J23" s="5"/>
      <c r="K23" s="167"/>
      <c r="L23" s="166"/>
    </row>
    <row r="24" spans="1:12" ht="15.75">
      <c r="A24" s="98" t="s">
        <v>184</v>
      </c>
      <c r="B24" s="98"/>
      <c r="C24" s="159"/>
      <c r="D24" s="168"/>
      <c r="G24" s="167"/>
      <c r="H24" s="166"/>
      <c r="J24" s="5"/>
      <c r="K24" s="167"/>
      <c r="L24" s="166"/>
    </row>
    <row r="25" spans="1:12" ht="15.75">
      <c r="A25" s="250" t="s">
        <v>37</v>
      </c>
      <c r="B25" s="36"/>
      <c r="C25" s="251">
        <f>'2004'!M43</f>
        <v>2031631.8693589456</v>
      </c>
      <c r="D25" s="169" t="str">
        <f>'2004'!N43</f>
        <v>ending</v>
      </c>
      <c r="F25" s="249">
        <f>'2005'!M43</f>
        <v>5808393.050347005</v>
      </c>
      <c r="G25" s="169" t="str">
        <f>'2005'!N43</f>
        <v>ending</v>
      </c>
      <c r="H25" s="165">
        <f>(F25/C25)-1</f>
        <v>1.8589790985016226</v>
      </c>
      <c r="J25" s="249">
        <f>'2006'!M43</f>
        <v>12584862.130365437</v>
      </c>
      <c r="K25" s="169" t="str">
        <f>'2006'!N43</f>
        <v>ending</v>
      </c>
      <c r="L25" s="165">
        <f aca="true" t="shared" si="2" ref="L25:L46">(J25/F25)-1</f>
        <v>1.1666684780592789</v>
      </c>
    </row>
    <row r="26" spans="1:12" ht="15">
      <c r="A26" s="36" t="s">
        <v>36</v>
      </c>
      <c r="B26" s="36"/>
      <c r="C26" s="159">
        <f>'2004'!M46</f>
        <v>16811753.718945276</v>
      </c>
      <c r="D26" s="170" t="str">
        <f>'2004'!N46</f>
        <v>ending</v>
      </c>
      <c r="F26" s="159">
        <f>'2005'!M46</f>
        <v>48064452.49162147</v>
      </c>
      <c r="G26" s="170" t="str">
        <f>'2005'!N46</f>
        <v>ending</v>
      </c>
      <c r="H26" s="165">
        <f>(F26/C26)-1</f>
        <v>1.858979098501623</v>
      </c>
      <c r="J26" s="159">
        <f>'2006'!M46</f>
        <v>104139734.128774</v>
      </c>
      <c r="K26" s="169" t="str">
        <f>'2006'!N46</f>
        <v>ending</v>
      </c>
      <c r="L26" s="165">
        <f t="shared" si="2"/>
        <v>1.1666684780592789</v>
      </c>
    </row>
    <row r="27" spans="1:12" ht="15">
      <c r="A27" s="34" t="s">
        <v>39</v>
      </c>
      <c r="B27" s="34"/>
      <c r="C27" s="160">
        <f>'2004'!M47</f>
        <v>1931340.1812688825</v>
      </c>
      <c r="D27" s="170" t="str">
        <f>'2004'!N47</f>
        <v>ending</v>
      </c>
      <c r="F27" s="160">
        <f>'2005'!M47</f>
        <v>4227712.218829039</v>
      </c>
      <c r="G27" s="170" t="str">
        <f>'2005'!N47</f>
        <v>ending</v>
      </c>
      <c r="H27" s="165">
        <f>(F27/C27)-1</f>
        <v>1.1890044332073333</v>
      </c>
      <c r="J27" s="160">
        <f>'2006'!M47</f>
        <v>6779265.390626487</v>
      </c>
      <c r="K27" s="169" t="str">
        <f>'2006'!N47</f>
        <v>ending</v>
      </c>
      <c r="L27" s="165">
        <f t="shared" si="2"/>
        <v>0.6035304769405898</v>
      </c>
    </row>
    <row r="28" spans="1:12" ht="15">
      <c r="A28" s="36" t="s">
        <v>40</v>
      </c>
      <c r="B28" s="36"/>
      <c r="C28" s="159">
        <f>'2004'!M48</f>
        <v>15981840.000000004</v>
      </c>
      <c r="D28" s="170" t="str">
        <f>'2004'!N48</f>
        <v>ending</v>
      </c>
      <c r="F28" s="159">
        <f>'2005'!M48</f>
        <v>34984318.610810295</v>
      </c>
      <c r="G28" s="170" t="str">
        <f>'2005'!N48</f>
        <v>ending</v>
      </c>
      <c r="H28" s="165">
        <f>(F28/C28)-1</f>
        <v>1.1890044332073333</v>
      </c>
      <c r="J28" s="159">
        <f>'2006'!M48</f>
        <v>56098421.10743418</v>
      </c>
      <c r="K28" s="169" t="str">
        <f>'2006'!N48</f>
        <v>ending</v>
      </c>
      <c r="L28" s="165">
        <f t="shared" si="2"/>
        <v>0.6035304769405898</v>
      </c>
    </row>
    <row r="29" spans="1:12" ht="15">
      <c r="A29" s="36" t="s">
        <v>197</v>
      </c>
      <c r="B29" s="36"/>
      <c r="C29" s="159">
        <f>'2004'!M49</f>
        <v>3089107.093867821</v>
      </c>
      <c r="D29" s="170" t="str">
        <f>'2004'!N49</f>
        <v>ending</v>
      </c>
      <c r="F29" s="159">
        <f>'2005'!M49</f>
        <v>2473738.7841826733</v>
      </c>
      <c r="G29" s="170" t="str">
        <f>'2005'!N49</f>
        <v>ending</v>
      </c>
      <c r="H29" s="165" t="s">
        <v>219</v>
      </c>
      <c r="J29" s="159">
        <f>'2006'!M49</f>
        <v>1192630.3180332705</v>
      </c>
      <c r="K29" s="169" t="str">
        <f>'2006'!N49</f>
        <v>ending</v>
      </c>
      <c r="L29" s="165" t="s">
        <v>219</v>
      </c>
    </row>
    <row r="30" spans="1:12" ht="15">
      <c r="A30" s="70" t="s">
        <v>194</v>
      </c>
      <c r="B30" s="70"/>
      <c r="C30" s="159">
        <f>'2004'!M50</f>
        <v>0</v>
      </c>
      <c r="D30" s="170" t="str">
        <f>'2004'!N50</f>
        <v>ending</v>
      </c>
      <c r="F30" s="159">
        <f>'2005'!M50</f>
        <v>558305.6018176109</v>
      </c>
      <c r="G30" s="170" t="str">
        <f>'2005'!N50</f>
        <v>ending</v>
      </c>
      <c r="H30" s="165" t="s">
        <v>219</v>
      </c>
      <c r="J30" s="159">
        <f>'2006'!M50</f>
        <v>1191035.9794561607</v>
      </c>
      <c r="K30" s="169" t="str">
        <f>'2006'!N50</f>
        <v>ending</v>
      </c>
      <c r="L30" s="165" t="s">
        <v>219</v>
      </c>
    </row>
    <row r="31" spans="1:12" ht="15">
      <c r="A31" s="37" t="s">
        <v>195</v>
      </c>
      <c r="B31" s="37"/>
      <c r="C31" s="159">
        <f>'2004'!M51</f>
        <v>0</v>
      </c>
      <c r="D31" s="170" t="str">
        <f>'2004'!N51</f>
        <v>ending</v>
      </c>
      <c r="F31" s="159">
        <f>'2005'!M51</f>
        <v>11432076.189279502</v>
      </c>
      <c r="G31" s="170" t="str">
        <f>'2005'!N51</f>
        <v>ending</v>
      </c>
      <c r="H31" s="165" t="s">
        <v>219</v>
      </c>
      <c r="J31" s="159">
        <f>'2006'!M51</f>
        <v>18305554.963270355</v>
      </c>
      <c r="K31" s="169" t="str">
        <f>'2006'!N51</f>
        <v>ending</v>
      </c>
      <c r="L31" s="165" t="s">
        <v>219</v>
      </c>
    </row>
    <row r="32" spans="1:12" ht="15">
      <c r="A32" s="15" t="s">
        <v>41</v>
      </c>
      <c r="B32" s="15"/>
      <c r="C32" s="159">
        <f>'2004'!M52</f>
        <v>3333333.0916414913</v>
      </c>
      <c r="D32" s="170" t="str">
        <f>'2004'!N52</f>
        <v>ending</v>
      </c>
      <c r="F32" s="159">
        <f>'2005'!M52</f>
        <v>7111110.869419271</v>
      </c>
      <c r="G32" s="170" t="str">
        <f>'2005'!N52</f>
        <v>ending</v>
      </c>
      <c r="H32" s="165">
        <f>(F32/C32)-1</f>
        <v>1.1333334155085661</v>
      </c>
      <c r="J32" s="159">
        <f>'2006'!M52</f>
        <v>6888888.647197051</v>
      </c>
      <c r="K32" s="169" t="str">
        <f>'2006'!N52</f>
        <v>ending</v>
      </c>
      <c r="L32" s="165">
        <f t="shared" si="2"/>
        <v>-0.03125000106212206</v>
      </c>
    </row>
    <row r="33" spans="1:12" ht="15">
      <c r="A33" s="15" t="s">
        <v>260</v>
      </c>
      <c r="B33" s="15"/>
      <c r="C33" s="159">
        <f>'2004'!M53</f>
        <v>0</v>
      </c>
      <c r="D33" s="170" t="str">
        <f>'2004'!N53</f>
        <v>ending</v>
      </c>
      <c r="F33" s="159">
        <f>'2005'!M53</f>
        <v>0</v>
      </c>
      <c r="G33" s="170" t="str">
        <f>'2005'!N53</f>
        <v>ending</v>
      </c>
      <c r="H33" s="165" t="s">
        <v>219</v>
      </c>
      <c r="J33" s="159">
        <f>'2006'!M53</f>
        <v>0</v>
      </c>
      <c r="K33" s="169" t="str">
        <f>'2006'!N53</f>
        <v>ending</v>
      </c>
      <c r="L33" s="165" t="s">
        <v>219</v>
      </c>
    </row>
    <row r="34" spans="1:12" ht="15">
      <c r="A34" s="35" t="s">
        <v>185</v>
      </c>
      <c r="B34" s="35"/>
      <c r="C34" s="159">
        <f>'2004'!M54</f>
        <v>39216033.9044546</v>
      </c>
      <c r="D34" s="170" t="str">
        <f>'2004'!N54</f>
        <v>ending</v>
      </c>
      <c r="F34" s="159">
        <f>'2005'!M54</f>
        <v>104624002.54713082</v>
      </c>
      <c r="G34" s="170" t="str">
        <f>'2005'!N54</f>
        <v>ending</v>
      </c>
      <c r="H34" s="165">
        <f>(F34/C34)-1</f>
        <v>1.6678884152853217</v>
      </c>
      <c r="J34" s="159">
        <f>'2006'!M54</f>
        <v>187816265.14416504</v>
      </c>
      <c r="K34" s="169" t="str">
        <f>'2006'!N54</f>
        <v>ending</v>
      </c>
      <c r="L34" s="165">
        <f>(J34/F34)-1</f>
        <v>0.7951546544929584</v>
      </c>
    </row>
    <row r="35" spans="1:12" ht="15">
      <c r="A35" s="35"/>
      <c r="B35" s="35"/>
      <c r="C35" s="159"/>
      <c r="D35" s="170"/>
      <c r="F35" s="159"/>
      <c r="G35" s="170"/>
      <c r="H35" s="165"/>
      <c r="J35" s="159"/>
      <c r="K35" s="169"/>
      <c r="L35" s="165"/>
    </row>
    <row r="36" spans="1:12" ht="15">
      <c r="A36" s="18" t="s">
        <v>42</v>
      </c>
      <c r="B36" s="18"/>
      <c r="C36" s="159">
        <f>'2004'!M55</f>
        <v>0</v>
      </c>
      <c r="D36" s="170" t="str">
        <f>'2004'!N55</f>
        <v>ending</v>
      </c>
      <c r="F36" s="159">
        <f>'2005'!M55</f>
        <v>0</v>
      </c>
      <c r="G36" s="170" t="str">
        <f>'2005'!N55</f>
        <v>ending</v>
      </c>
      <c r="H36" s="165" t="s">
        <v>219</v>
      </c>
      <c r="J36" s="159">
        <f>'2006'!M55</f>
        <v>0</v>
      </c>
      <c r="K36" s="169" t="str">
        <f>'2006'!N55</f>
        <v>ending</v>
      </c>
      <c r="L36" s="165" t="s">
        <v>219</v>
      </c>
    </row>
    <row r="37" spans="1:12" ht="15">
      <c r="A37" s="18" t="s">
        <v>43</v>
      </c>
      <c r="B37" s="18"/>
      <c r="C37" s="159">
        <f>'2004'!M56</f>
        <v>6346177.633943453</v>
      </c>
      <c r="D37" s="170" t="str">
        <f>'2004'!N56</f>
        <v>ending</v>
      </c>
      <c r="F37" s="159">
        <f>'2005'!M56</f>
        <v>5422341.724310007</v>
      </c>
      <c r="G37" s="170" t="str">
        <f>'2005'!N56</f>
        <v>ending</v>
      </c>
      <c r="H37" s="165">
        <f>(F37/C37)-1</f>
        <v>-0.14557359767116762</v>
      </c>
      <c r="J37" s="159">
        <f>'2006'!M56</f>
        <v>3519722.5576657504</v>
      </c>
      <c r="K37" s="169" t="str">
        <f>'2006'!N56</f>
        <v>ending</v>
      </c>
      <c r="L37" s="165">
        <f t="shared" si="2"/>
        <v>-0.3508851458244021</v>
      </c>
    </row>
    <row r="38" spans="1:12" ht="15">
      <c r="A38" s="18" t="s">
        <v>44</v>
      </c>
      <c r="B38" s="18"/>
      <c r="C38" s="160">
        <f>'2004'!M57</f>
        <v>766909.6838602361</v>
      </c>
      <c r="D38" s="170" t="str">
        <f>'2004'!N57</f>
        <v>ending</v>
      </c>
      <c r="F38" s="160">
        <f>'2005'!M57</f>
        <v>655267.8820918438</v>
      </c>
      <c r="G38" s="170" t="str">
        <f>'2005'!N57</f>
        <v>ending</v>
      </c>
      <c r="H38" s="165">
        <f>(F38/C38)-1</f>
        <v>-0.14557359767116762</v>
      </c>
      <c r="J38" s="160">
        <f>'2006'!M57</f>
        <v>425344.11573</v>
      </c>
      <c r="K38" s="169" t="str">
        <f>'2006'!N57</f>
        <v>ending</v>
      </c>
      <c r="L38" s="165">
        <f t="shared" si="2"/>
        <v>-0.3508851458244021</v>
      </c>
    </row>
    <row r="39" spans="1:12" ht="15">
      <c r="A39" s="77" t="s">
        <v>45</v>
      </c>
      <c r="B39" s="18"/>
      <c r="C39" s="159">
        <f>'2004'!M58</f>
        <v>32869856.270511143</v>
      </c>
      <c r="D39" s="170" t="str">
        <f>'2004'!N57</f>
        <v>ending</v>
      </c>
      <c r="F39" s="159">
        <f>'2005'!M58</f>
        <v>99201660.82282081</v>
      </c>
      <c r="G39" s="170" t="str">
        <f>'2005'!N57</f>
        <v>ending</v>
      </c>
      <c r="H39" s="165">
        <f>(F39/C39)-1</f>
        <v>2.018013221792472</v>
      </c>
      <c r="J39" s="159">
        <f>'2006'!M58</f>
        <v>184296542.58649927</v>
      </c>
      <c r="K39" s="169" t="str">
        <f>'2006'!N57</f>
        <v>ending</v>
      </c>
      <c r="L39" s="165">
        <f t="shared" si="2"/>
        <v>0.8577969467231221</v>
      </c>
    </row>
    <row r="40" spans="1:12" ht="15.75">
      <c r="A40" s="244" t="s">
        <v>293</v>
      </c>
      <c r="B40" s="18"/>
      <c r="C40" s="251">
        <f>'2004'!K60</f>
        <v>3972188.0689439448</v>
      </c>
      <c r="D40" s="170" t="str">
        <f>'2004'!N58</f>
        <v>ending</v>
      </c>
      <c r="F40" s="251">
        <f>'2005'!K60</f>
        <v>10539127.375434889</v>
      </c>
      <c r="G40" s="170" t="str">
        <f>'2005'!N58</f>
        <v>ending</v>
      </c>
      <c r="H40" s="165">
        <f>(F40/C40)-1</f>
        <v>1.6532297042614212</v>
      </c>
      <c r="J40" s="251">
        <f>'2006'!K60</f>
        <v>19973616.33276056</v>
      </c>
      <c r="K40" s="169" t="str">
        <f>'2006'!N58</f>
        <v>ending</v>
      </c>
      <c r="L40" s="165">
        <f t="shared" si="2"/>
        <v>0.8951869183511378</v>
      </c>
    </row>
    <row r="41" spans="1:12" ht="15">
      <c r="A41" s="35" t="s">
        <v>186</v>
      </c>
      <c r="B41" s="35"/>
      <c r="C41" s="159">
        <f>'2004'!M59</f>
        <v>39216033.9044546</v>
      </c>
      <c r="D41" s="170" t="str">
        <f>'2004'!N59</f>
        <v>ending</v>
      </c>
      <c r="F41" s="159">
        <f>'2005'!M59</f>
        <v>104624002.54713082</v>
      </c>
      <c r="G41" s="170" t="str">
        <f>'2005'!N59</f>
        <v>ending</v>
      </c>
      <c r="H41" s="165">
        <f>(F41/C41)-1</f>
        <v>1.6678884152853217</v>
      </c>
      <c r="J41" s="159">
        <f>'2006'!M59</f>
        <v>187816265.14416504</v>
      </c>
      <c r="K41" s="169" t="str">
        <f>'2006'!N59</f>
        <v>ending</v>
      </c>
      <c r="L41" s="165">
        <f t="shared" si="2"/>
        <v>0.7951546544929584</v>
      </c>
    </row>
    <row r="42" spans="1:12" ht="15">
      <c r="A42" s="35"/>
      <c r="B42" s="35"/>
      <c r="C42" s="159"/>
      <c r="D42" s="170"/>
      <c r="F42" s="159"/>
      <c r="G42" s="170"/>
      <c r="H42" s="165"/>
      <c r="J42" s="159"/>
      <c r="K42" s="169"/>
      <c r="L42" s="165"/>
    </row>
    <row r="43" spans="1:12" ht="15">
      <c r="A43" s="18" t="s">
        <v>46</v>
      </c>
      <c r="B43" s="18"/>
      <c r="C43" s="160">
        <f>'2004'!M60</f>
        <v>3972188.0689439448</v>
      </c>
      <c r="D43" s="170" t="str">
        <f>'2004'!N60</f>
        <v>ending</v>
      </c>
      <c r="F43" s="160">
        <f>'2005'!M60</f>
        <v>11988116.111519132</v>
      </c>
      <c r="G43" s="170" t="str">
        <f>'2005'!N60</f>
        <v>ending</v>
      </c>
      <c r="H43" s="165">
        <f>(F43/C43)-1</f>
        <v>2.018013221792472</v>
      </c>
      <c r="J43" s="160">
        <f>'2006'!M60</f>
        <v>19973616.33276056</v>
      </c>
      <c r="K43" s="169" t="str">
        <f>'2006'!N60</f>
        <v>ending</v>
      </c>
      <c r="L43" s="165">
        <f t="shared" si="2"/>
        <v>0.6661180244632705</v>
      </c>
    </row>
    <row r="44" spans="1:12" ht="15">
      <c r="A44" s="12" t="s">
        <v>256</v>
      </c>
      <c r="B44" s="12"/>
      <c r="C44" s="178" t="s">
        <v>48</v>
      </c>
      <c r="D44" s="170" t="str">
        <f>'2004'!N61</f>
        <v>p/e=15</v>
      </c>
      <c r="F44" s="160">
        <f>'2005'!M61</f>
        <v>92063614.75388852</v>
      </c>
      <c r="G44" s="170" t="str">
        <f>'2005'!N61</f>
        <v>p/e=15</v>
      </c>
      <c r="H44" s="165" t="s">
        <v>219</v>
      </c>
      <c r="J44" s="160">
        <f>'2006'!M61</f>
        <v>159545897.23386952</v>
      </c>
      <c r="K44" s="164" t="str">
        <f>'2006'!N61</f>
        <v>p/e=15</v>
      </c>
      <c r="L44" s="165">
        <f t="shared" si="2"/>
        <v>0.73299622940485</v>
      </c>
    </row>
    <row r="45" spans="1:12" ht="15.75">
      <c r="A45" s="245" t="s">
        <v>257</v>
      </c>
      <c r="B45" s="12"/>
      <c r="C45" s="252" t="s">
        <v>48</v>
      </c>
      <c r="D45" s="170" t="s">
        <v>294</v>
      </c>
      <c r="F45" s="249">
        <f>F44*2/3</f>
        <v>61375743.16925901</v>
      </c>
      <c r="G45" s="170" t="s">
        <v>294</v>
      </c>
      <c r="H45" s="165" t="s">
        <v>219</v>
      </c>
      <c r="J45" s="249">
        <f>J44*2/3</f>
        <v>106363931.48924635</v>
      </c>
      <c r="K45" s="170" t="s">
        <v>294</v>
      </c>
      <c r="L45" s="165">
        <f t="shared" si="2"/>
        <v>0.7329962294048502</v>
      </c>
    </row>
    <row r="46" spans="1:12" ht="15">
      <c r="A46" s="12" t="s">
        <v>258</v>
      </c>
      <c r="B46" s="12"/>
      <c r="C46" s="178" t="s">
        <v>48</v>
      </c>
      <c r="D46" s="170" t="s">
        <v>295</v>
      </c>
      <c r="F46" s="162">
        <f>F44/3</f>
        <v>30687871.584629506</v>
      </c>
      <c r="G46" s="170" t="s">
        <v>295</v>
      </c>
      <c r="H46" s="165" t="s">
        <v>219</v>
      </c>
      <c r="J46" s="162">
        <f>J44/3</f>
        <v>53181965.74462318</v>
      </c>
      <c r="K46" s="170" t="s">
        <v>295</v>
      </c>
      <c r="L46" s="165">
        <f t="shared" si="2"/>
        <v>0.7329962294048502</v>
      </c>
    </row>
    <row r="47" ht="15">
      <c r="D47" s="161"/>
    </row>
  </sheetData>
  <sheetProtection/>
  <printOptions/>
  <pageMargins left="0.75" right="0.75" top="1" bottom="1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="75" zoomScaleNormal="75" zoomScaleSheetLayoutView="30" zoomScalePageLayoutView="0" workbookViewId="0" topLeftCell="A1">
      <selection activeCell="A1" sqref="A1"/>
    </sheetView>
  </sheetViews>
  <sheetFormatPr defaultColWidth="8.88671875" defaultRowHeight="15"/>
  <cols>
    <col min="1" max="1" width="30.77734375" style="18" customWidth="1"/>
    <col min="2" max="11" width="16.77734375" style="18" customWidth="1"/>
    <col min="12" max="12" width="30.77734375" style="0" customWidth="1"/>
    <col min="13" max="13" width="16.77734375" style="209" customWidth="1"/>
    <col min="14" max="14" width="8.77734375" style="156" customWidth="1"/>
    <col min="15" max="16384" width="8.88671875" style="18" customWidth="1"/>
  </cols>
  <sheetData>
    <row r="1" spans="1:14" s="16" customFormat="1" ht="15.75">
      <c r="A1" s="7" t="s">
        <v>310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/>
      <c r="M1" s="213"/>
      <c r="N1" s="156"/>
    </row>
    <row r="2" spans="1:13" ht="15">
      <c r="A2" s="12"/>
      <c r="B2" s="10"/>
      <c r="C2" s="10"/>
      <c r="D2" s="10"/>
      <c r="E2" s="10"/>
      <c r="F2" s="10"/>
      <c r="G2" s="10"/>
      <c r="H2" s="10"/>
      <c r="I2" s="10" t="s">
        <v>10</v>
      </c>
      <c r="J2" s="10"/>
      <c r="K2" s="10"/>
      <c r="M2" s="214"/>
    </row>
    <row r="3" spans="1:14" s="112" customFormat="1" ht="15.75">
      <c r="A3" s="112" t="s">
        <v>284</v>
      </c>
      <c r="B3" s="112" t="s">
        <v>12</v>
      </c>
      <c r="C3" s="112">
        <v>4</v>
      </c>
      <c r="D3" s="112">
        <v>5</v>
      </c>
      <c r="E3" s="112">
        <v>6</v>
      </c>
      <c r="F3" s="112">
        <v>7</v>
      </c>
      <c r="G3" s="112">
        <v>8</v>
      </c>
      <c r="H3" s="112">
        <v>9</v>
      </c>
      <c r="I3" s="112">
        <v>10</v>
      </c>
      <c r="J3" s="112">
        <v>11</v>
      </c>
      <c r="K3" s="112">
        <v>12</v>
      </c>
      <c r="L3" t="s">
        <v>393</v>
      </c>
      <c r="M3" s="215" t="s">
        <v>11</v>
      </c>
      <c r="N3" s="156"/>
    </row>
    <row r="4" spans="1:13" ht="15">
      <c r="A4" s="16"/>
      <c r="B4" s="20"/>
      <c r="C4" s="10"/>
      <c r="D4" s="10"/>
      <c r="E4" s="10"/>
      <c r="F4" s="10"/>
      <c r="G4" s="10"/>
      <c r="H4" s="10"/>
      <c r="I4" s="10"/>
      <c r="J4" s="10"/>
      <c r="K4" s="10"/>
      <c r="M4" s="216"/>
    </row>
    <row r="5" spans="1:14" s="128" customFormat="1" ht="15.75">
      <c r="A5" s="303" t="s">
        <v>318</v>
      </c>
      <c r="B5" s="127"/>
      <c r="C5" s="127"/>
      <c r="D5" s="127"/>
      <c r="E5" s="127" t="e">
        <f>$G80*((SUM($B15:E15)-D18-E13+F15/2)/((E6*D7*$I80*E9*(1-$C86*(1+$E86)^$F86))*$G80))</f>
        <v>#DIV/0!</v>
      </c>
      <c r="F5" s="127">
        <f>$G80*((SUM($B15:F15)-E18-F13+G15/2)/((F6*E7*$I80*F9*(1-$C86*(1+$E86)^($F86-1)))*$G80))</f>
        <v>26.875364755378847</v>
      </c>
      <c r="G5" s="127">
        <f>$G80*((SUM($B15:G15)-F18-G13+H15/2)/((G6*F7*$I80*G9*(1-$C86*(1+$E86)^($F86-2)))*$G80))</f>
        <v>44.892550222470554</v>
      </c>
      <c r="H5" s="127">
        <f>$G80*((SUM($B15:H15)-G18-H13+I15/2)/((H6*G7*$I80*H9*(1-$C86*(1+$E86)^($F86-3)))*$G80))</f>
        <v>39.664426929061705</v>
      </c>
      <c r="I5" s="127">
        <f>$G80*((SUM($B15:I15)-H18-I13+J15/2)/((I6*H7*$I80*I9*(1-$C86*(1+$E86)^($F86-4)))*$G80))</f>
        <v>14.859716027099086</v>
      </c>
      <c r="J5" s="127">
        <f>$G80*((SUM($B15:J15)-I18-J13+K15/2)/((J6*I7*$I80*J9*(1-$C86*(1+$E86)^($F86-5)))*$G80))</f>
        <v>9.928685716047893</v>
      </c>
      <c r="K5" s="127">
        <f>$G80*((SUM($B15:K15)-J18-K13)/((K6*J7*$I80*K9*(1-$C86*(1+$E86)^($F86-6)))*$G80))</f>
        <v>5.518333439827821</v>
      </c>
      <c r="L5" s="133" t="s">
        <v>211</v>
      </c>
      <c r="M5" s="217"/>
      <c r="N5" s="156"/>
    </row>
    <row r="6" spans="1:14" s="126" customFormat="1" ht="15.75">
      <c r="A6" s="304" t="s">
        <v>319</v>
      </c>
      <c r="B6" s="125">
        <v>0</v>
      </c>
      <c r="C6" s="125">
        <v>0</v>
      </c>
      <c r="D6" s="125">
        <v>0</v>
      </c>
      <c r="E6" s="125">
        <v>1</v>
      </c>
      <c r="F6" s="125">
        <f aca="true" t="shared" si="0" ref="F6:K6">E6</f>
        <v>1</v>
      </c>
      <c r="G6" s="125">
        <f t="shared" si="0"/>
        <v>1</v>
      </c>
      <c r="H6" s="125">
        <f t="shared" si="0"/>
        <v>1</v>
      </c>
      <c r="I6" s="125">
        <f t="shared" si="0"/>
        <v>1</v>
      </c>
      <c r="J6" s="125">
        <f t="shared" si="0"/>
        <v>1</v>
      </c>
      <c r="K6" s="125">
        <f t="shared" si="0"/>
        <v>1</v>
      </c>
      <c r="L6" s="11" t="s">
        <v>238</v>
      </c>
      <c r="M6" s="218">
        <f>K6</f>
        <v>1</v>
      </c>
      <c r="N6" s="156" t="s">
        <v>253</v>
      </c>
    </row>
    <row r="7" spans="1:14" s="22" customFormat="1" ht="15.75">
      <c r="A7" s="305" t="s">
        <v>320</v>
      </c>
      <c r="B7" s="125">
        <v>0</v>
      </c>
      <c r="C7" s="125">
        <v>0</v>
      </c>
      <c r="D7" s="125">
        <v>0</v>
      </c>
      <c r="E7" s="125">
        <v>1</v>
      </c>
      <c r="F7" s="72">
        <v>1</v>
      </c>
      <c r="G7" s="72">
        <v>1</v>
      </c>
      <c r="H7" s="72">
        <f>IF(H5&gt;3*$G80,IF(G7&gt;=2,G7,G7+1),IF(H8&lt;=20,IF(G7=1,1,IF(H8&lt;20,1,G7-1)),G7))</f>
        <v>2</v>
      </c>
      <c r="I7" s="72">
        <f>IF(I5&gt;3*$G80,IF(H7&gt;=2,H7,H7+1),IF(I8&lt;=20,IF(H7=1,1,IF(I8&lt;20,1,H7-1)),H7))</f>
        <v>2</v>
      </c>
      <c r="J7" s="72">
        <f>IF(J5&gt;3*$G80,IF(I7&gt;=2,I7,I7+1),IF(J8&lt;=20,IF(I7=1,1,IF(J8&lt;20,1,I7-1)),I7))</f>
        <v>2</v>
      </c>
      <c r="K7" s="72">
        <f>IF(K5&gt;3*$G80,IF(J7&gt;=2,J7,J7+1),IF(K8&lt;=20,IF(J7=1,1,IF(K8&lt;20,1,J7-1)),J7))</f>
        <v>2</v>
      </c>
      <c r="L7" s="23" t="s">
        <v>239</v>
      </c>
      <c r="M7" s="219">
        <f>K7</f>
        <v>2</v>
      </c>
      <c r="N7" s="156" t="s">
        <v>253</v>
      </c>
    </row>
    <row r="8" spans="1:14" s="22" customFormat="1" ht="15">
      <c r="A8" s="305" t="s">
        <v>321</v>
      </c>
      <c r="B8" s="24">
        <v>0</v>
      </c>
      <c r="C8" s="24">
        <v>0</v>
      </c>
      <c r="D8" s="24">
        <v>0</v>
      </c>
      <c r="E8" s="21">
        <v>30</v>
      </c>
      <c r="F8" s="24">
        <f aca="true" t="shared" si="1" ref="F8:K8">IF(F5&gt;3*$G80,50,(IF(F5&gt;2*$G80,45,IF(F5&gt;$G80,40,IF(F5&gt;0.25*$G80,30,IF(F5&lt;-0.2*$G80,0,20))))))</f>
        <v>50</v>
      </c>
      <c r="G8" s="24">
        <f t="shared" si="1"/>
        <v>50</v>
      </c>
      <c r="H8" s="24">
        <f t="shared" si="1"/>
        <v>50</v>
      </c>
      <c r="I8" s="24">
        <f t="shared" si="1"/>
        <v>50</v>
      </c>
      <c r="J8" s="24">
        <f t="shared" si="1"/>
        <v>45</v>
      </c>
      <c r="K8" s="24">
        <f t="shared" si="1"/>
        <v>40</v>
      </c>
      <c r="L8" s="23" t="s">
        <v>240</v>
      </c>
      <c r="M8" s="219">
        <f>SUM(E8:K8)/6.67</f>
        <v>47.2263868065967</v>
      </c>
      <c r="N8" s="156" t="s">
        <v>254</v>
      </c>
    </row>
    <row r="9" spans="1:14" s="68" customFormat="1" ht="15">
      <c r="A9" s="306" t="s">
        <v>322</v>
      </c>
      <c r="B9" s="57">
        <v>0</v>
      </c>
      <c r="C9" s="57">
        <v>0</v>
      </c>
      <c r="D9" s="57">
        <v>0</v>
      </c>
      <c r="E9" s="57">
        <v>0</v>
      </c>
      <c r="F9" s="57">
        <f>$C83*(1-$E83)^($F83-1)</f>
        <v>16.117077625167965</v>
      </c>
      <c r="G9" s="57">
        <f>$C83*(1-$E83)^($F83-2)</f>
        <v>16.26904687943503</v>
      </c>
      <c r="H9" s="57">
        <f>$C83*(1-$E83)^($F83-3)</f>
        <v>16.422449064335034</v>
      </c>
      <c r="I9" s="57">
        <f>$C83*(1-$E83)^($F83-4)</f>
        <v>16.577297691089093</v>
      </c>
      <c r="J9" s="57">
        <f>$C83*(1-$E83)^($F83-5)</f>
        <v>16.733606398316763</v>
      </c>
      <c r="K9" s="57">
        <f>$C83*(1-$E83)^($F83-6)</f>
        <v>16.891388953237247</v>
      </c>
      <c r="L9" s="67" t="s">
        <v>241</v>
      </c>
      <c r="M9" s="220">
        <f>SUM(F9:K9)/6</f>
        <v>16.50181110193019</v>
      </c>
      <c r="N9" s="156" t="s">
        <v>254</v>
      </c>
    </row>
    <row r="10" spans="1:14" s="22" customFormat="1" ht="15">
      <c r="A10" s="305" t="s">
        <v>323</v>
      </c>
      <c r="B10" s="27">
        <v>0</v>
      </c>
      <c r="C10" s="27">
        <v>0</v>
      </c>
      <c r="D10" s="27">
        <v>0</v>
      </c>
      <c r="E10" s="24">
        <v>0</v>
      </c>
      <c r="F10" s="24">
        <f>F6*F7*F8*G80*(1-C86*(1+E86)^(F86-1))</f>
        <v>190.4641678866559</v>
      </c>
      <c r="G10" s="24">
        <f>G6*G7*G8*G80*(1-C86*(1+E86)^(F86-2))</f>
        <v>190.7281203034733</v>
      </c>
      <c r="H10" s="24">
        <f>H6*H7*H8*G80*(1-C86*(1+E86)^(F86-3))</f>
        <v>381.96953300246054</v>
      </c>
      <c r="I10" s="24">
        <f>I6*I7*I8*G80*(1-C86*(1+E86)^(F86-4))</f>
        <v>382.46861743303555</v>
      </c>
      <c r="J10" s="24">
        <f>J6*J7*J8*G80*(1-C86*(1+E86)^(F86-5))</f>
        <v>344.65849845841</v>
      </c>
      <c r="K10" s="24">
        <f>K6*K7*K8*(G80-1)*(1-C86*(1+E86)^(F86-6))</f>
        <v>230.0554347736716</v>
      </c>
      <c r="L10" s="23" t="s">
        <v>259</v>
      </c>
      <c r="M10" s="219">
        <f>SUM(F10:K10)/6</f>
        <v>286.7240619762845</v>
      </c>
      <c r="N10" s="156" t="s">
        <v>254</v>
      </c>
    </row>
    <row r="11" spans="1:14" ht="15">
      <c r="A11" s="307" t="s">
        <v>324</v>
      </c>
      <c r="B11" s="22">
        <f>0</f>
        <v>0</v>
      </c>
      <c r="C11" s="22">
        <f>C9*C10</f>
        <v>0</v>
      </c>
      <c r="D11" s="22">
        <f>D9*D10</f>
        <v>0</v>
      </c>
      <c r="E11" s="22">
        <f>E9*E10</f>
        <v>0</v>
      </c>
      <c r="F11" s="22">
        <f aca="true" t="shared" si="2" ref="F11:K11">ROUNDDOWN(F9*F10,0)</f>
        <v>3069</v>
      </c>
      <c r="G11" s="22">
        <f t="shared" si="2"/>
        <v>3102</v>
      </c>
      <c r="H11" s="22">
        <f t="shared" si="2"/>
        <v>6272</v>
      </c>
      <c r="I11" s="22">
        <f t="shared" si="2"/>
        <v>6340</v>
      </c>
      <c r="J11" s="22">
        <f t="shared" si="2"/>
        <v>5767</v>
      </c>
      <c r="K11" s="22">
        <f t="shared" si="2"/>
        <v>3885</v>
      </c>
      <c r="L11" s="18" t="s">
        <v>246</v>
      </c>
      <c r="M11" s="221">
        <f>SUM(E11:K11)</f>
        <v>28435</v>
      </c>
      <c r="N11" s="156" t="s">
        <v>394</v>
      </c>
    </row>
    <row r="12" spans="1:14" ht="15">
      <c r="A12" s="307" t="s">
        <v>325</v>
      </c>
      <c r="B12" s="27">
        <v>0</v>
      </c>
      <c r="C12" s="22">
        <f>$C11*(1-(1-($C89*(1+$E89)^($F89+2))))</f>
        <v>0</v>
      </c>
      <c r="D12" s="22">
        <f>$C11*(1-(1-($C89*(1+$E89)^($F89+2))))</f>
        <v>0</v>
      </c>
      <c r="E12" s="22">
        <f>E11*(1-(1-($C89*(1+$E89)^($F89+1))))</f>
        <v>0</v>
      </c>
      <c r="F12" s="22">
        <f>ROUNDDOWN(2*F11*(1-(1-($C89*(1+$E89)^($F89-1)))),0)</f>
        <v>260</v>
      </c>
      <c r="G12" s="22">
        <f>ROUNDDOWN(G11*(1-(1-($C89*(1+$E89)^($F89-2)))),0)</f>
        <v>123</v>
      </c>
      <c r="H12" s="22">
        <f>ROUNDDOWN(H11*(1-(1-($C89*(1+$E89)^($F89-3)))),0)</f>
        <v>234</v>
      </c>
      <c r="I12" s="22">
        <f>ROUNDDOWN(I11*(1-(1-($C89*(1+$E89)^($F89-4)))),0)</f>
        <v>222</v>
      </c>
      <c r="J12" s="22">
        <f>ROUNDDOWN(J11*(1-(1-($C89*(1+$E89)^($F89-5)))),0)</f>
        <v>190</v>
      </c>
      <c r="K12" s="22">
        <f>ROUNDDOWN(K11*(1-(1-($C89*(1+$E89)^($F89-6)))),0)</f>
        <v>120</v>
      </c>
      <c r="L12" s="18" t="s">
        <v>247</v>
      </c>
      <c r="M12" s="221">
        <f>SUM(E10:K10)</f>
        <v>1720.3443718577068</v>
      </c>
      <c r="N12" s="156" t="s">
        <v>394</v>
      </c>
    </row>
    <row r="13" spans="1:14" ht="15">
      <c r="A13" s="308" t="s">
        <v>326</v>
      </c>
      <c r="C13" s="27">
        <f>0</f>
        <v>0</v>
      </c>
      <c r="D13" s="27">
        <f>0</f>
        <v>0</v>
      </c>
      <c r="E13" s="27">
        <f aca="true" t="shared" si="3" ref="E13:K13">D14*(100%-D17)</f>
        <v>0</v>
      </c>
      <c r="F13" s="27">
        <f t="shared" si="3"/>
        <v>0</v>
      </c>
      <c r="G13" s="27">
        <f t="shared" si="3"/>
        <v>0</v>
      </c>
      <c r="H13" s="24">
        <f>ROUNDDOWN(G14*(100%-G17),0)</f>
        <v>0</v>
      </c>
      <c r="I13" s="27">
        <f t="shared" si="3"/>
        <v>0</v>
      </c>
      <c r="J13" s="27">
        <f t="shared" si="3"/>
        <v>0</v>
      </c>
      <c r="K13" s="27">
        <f t="shared" si="3"/>
        <v>0</v>
      </c>
      <c r="L13" s="28" t="s">
        <v>242</v>
      </c>
      <c r="M13" s="219">
        <f>K14*(100%-K17)</f>
        <v>0</v>
      </c>
      <c r="N13" s="156" t="s">
        <v>253</v>
      </c>
    </row>
    <row r="14" spans="1:14" ht="15">
      <c r="A14" s="308" t="s">
        <v>327</v>
      </c>
      <c r="B14" s="27">
        <v>0</v>
      </c>
      <c r="C14" s="24">
        <f>C11-C12+C13</f>
        <v>0</v>
      </c>
      <c r="D14" s="24">
        <f>D11-D12+D13</f>
        <v>0</v>
      </c>
      <c r="E14" s="24">
        <f>E11-E12+E13</f>
        <v>0</v>
      </c>
      <c r="F14" s="24">
        <f>ROUNDDOWN(F11-F12+F13,0)-669</f>
        <v>2140</v>
      </c>
      <c r="G14" s="24">
        <f>G11-G12+G13</f>
        <v>2979</v>
      </c>
      <c r="H14" s="24">
        <f>H11-H12+H13</f>
        <v>6038</v>
      </c>
      <c r="I14" s="24">
        <f>I11-I12+I13</f>
        <v>6118</v>
      </c>
      <c r="J14" s="24">
        <f>J11-J12+J13</f>
        <v>5577</v>
      </c>
      <c r="K14" s="24">
        <f>K11-K12+K13</f>
        <v>3765</v>
      </c>
      <c r="L14" s="26" t="s">
        <v>243</v>
      </c>
      <c r="M14" s="222">
        <f>'2004'!M13</f>
        <v>0</v>
      </c>
      <c r="N14" s="156" t="s">
        <v>253</v>
      </c>
    </row>
    <row r="15" spans="1:14" s="115" customFormat="1" ht="15.75">
      <c r="A15" s="309" t="s">
        <v>328</v>
      </c>
      <c r="B15" s="114">
        <v>0</v>
      </c>
      <c r="C15" s="114">
        <v>0</v>
      </c>
      <c r="D15" s="114">
        <v>0</v>
      </c>
      <c r="E15" s="114">
        <v>3000</v>
      </c>
      <c r="F15" s="114">
        <v>0</v>
      </c>
      <c r="G15" s="114">
        <v>27000</v>
      </c>
      <c r="H15" s="114">
        <v>0</v>
      </c>
      <c r="I15" s="114">
        <v>0</v>
      </c>
      <c r="J15" s="114">
        <v>0</v>
      </c>
      <c r="K15" s="114">
        <v>0</v>
      </c>
      <c r="L15" s="113" t="s">
        <v>248</v>
      </c>
      <c r="M15" s="223">
        <f>SUM(B15:K15)</f>
        <v>30000</v>
      </c>
      <c r="N15" s="156" t="s">
        <v>215</v>
      </c>
    </row>
    <row r="16" spans="1:14" s="130" customFormat="1" ht="15">
      <c r="A16" s="307" t="s">
        <v>329</v>
      </c>
      <c r="B16" s="24">
        <v>0</v>
      </c>
      <c r="C16" s="24">
        <v>0</v>
      </c>
      <c r="D16" s="24">
        <v>0</v>
      </c>
      <c r="E16" s="130" t="s">
        <v>218</v>
      </c>
      <c r="F16" s="110">
        <f>$G80*((SUM($B15:F15)-E18-F14)/((F6*F7*$I80*F9*(1-$C86*(1+$E86)^($F86-2)))*$G80))</f>
        <v>1.3988380248344097</v>
      </c>
      <c r="G16" s="110">
        <f>$G80*((SUM($B15:G15)-F18-G14)/((G6*G7*$I80*G9*(1-$C86*(1+$E86)^($F86-2)))*$G80))</f>
        <v>40.09230230026166</v>
      </c>
      <c r="H16" s="110">
        <f>$G80*((SUM($B15:H15)-G18-H14)/((H6*H7*$I80*H9*(1-$C86*(1+$E86)^($F86-3)))*$G80))</f>
        <v>15.019428411726011</v>
      </c>
      <c r="I16" s="110">
        <f>$G80*((SUM($B15:I15)-H18-I14)/((I6*I7*$I80*I9*(1-$C86*(1+$E86)^($F86-4)))*$G80))</f>
        <v>10.035020243317724</v>
      </c>
      <c r="J16" s="110">
        <f>$G80*((SUM($B15:J15)-I18-J14)/((J6*J7*$I80*J9*(1-$C86*(1+$E86)^($F86-5)))*$G80))</f>
        <v>5.577229508708082</v>
      </c>
      <c r="K16" s="110">
        <f>$G80*((SUM($B15:K15)-J18-K14)/((K6*K7*$I80*K9*(1-$C86*(1+$E86)^($F86-6)))*$G80))</f>
        <v>2.611712650662776</v>
      </c>
      <c r="L16" s="116" t="s">
        <v>244</v>
      </c>
      <c r="M16" s="224">
        <f>$G80*((SUM($B15:K15)-K18-M13)/((K6*K7*$I80*K9*(1-$C86*(1+$E86)^($F86-6)))*$G80))</f>
        <v>2.611712650662776</v>
      </c>
      <c r="N16" s="156" t="s">
        <v>253</v>
      </c>
    </row>
    <row r="17" spans="1:14" ht="15">
      <c r="A17" s="307" t="s">
        <v>330</v>
      </c>
      <c r="B17" s="27">
        <v>0</v>
      </c>
      <c r="C17" s="27">
        <f>0</f>
        <v>0</v>
      </c>
      <c r="D17" s="27">
        <f>0</f>
        <v>0</v>
      </c>
      <c r="E17" s="27">
        <f>0</f>
        <v>0</v>
      </c>
      <c r="F17" s="25">
        <f>IF(SUM($B15:F15)&lt;=E18,0,(IF((SUM($B15:F15)-E18)&gt;F14,100%,(SUM($B15:F15)-E18)/F14)))</f>
        <v>1</v>
      </c>
      <c r="G17" s="25">
        <f>IF(SUM($B15:G15)&lt;=F18,0,(IF((SUM($B15:G15)-F18)&gt;G14,100%,(SUM($B15:G15)-F18)/G14)))</f>
        <v>1</v>
      </c>
      <c r="H17" s="25">
        <f>IF(SUM($B15:H15)&lt;=G18,0,(IF((SUM($B15:H15)-G18)&gt;H14,100%,(SUM($B15:H15)-G18)/H14)))</f>
        <v>1</v>
      </c>
      <c r="I17" s="25">
        <f>IF(SUM($B15:I15)&lt;=H18,0,(IF((SUM($B15:I15)-H18)&gt;I14,100%,(SUM($B15:I15)-H18)/I14)))</f>
        <v>1</v>
      </c>
      <c r="J17" s="25">
        <f>IF(SUM($B15:J15)&lt;=I18,0,(IF((SUM($B15:J15)-I18)&gt;J14,100%,(SUM($B15:J15)-I18)/J14)))</f>
        <v>1</v>
      </c>
      <c r="K17" s="25">
        <f>IF(SUM($B15:K15)&lt;=J18,0,(IF((SUM($B15:K15)-J18)&gt;K14,100%,(SUM($B15:K15)-J18)/K14)))</f>
        <v>1</v>
      </c>
      <c r="L17" s="12" t="s">
        <v>249</v>
      </c>
      <c r="M17" s="225">
        <f>SUM(F17:K17)/6</f>
        <v>1</v>
      </c>
      <c r="N17" s="156" t="s">
        <v>254</v>
      </c>
    </row>
    <row r="18" spans="1:14" s="258" customFormat="1" ht="15">
      <c r="A18" s="16"/>
      <c r="B18" s="259">
        <v>0</v>
      </c>
      <c r="C18" s="259">
        <f>0+C14*C17</f>
        <v>0</v>
      </c>
      <c r="D18" s="259">
        <f>0+D14*D17</f>
        <v>0</v>
      </c>
      <c r="E18" s="259">
        <f aca="true" t="shared" si="4" ref="E18:K18">D18+E14*E17</f>
        <v>0</v>
      </c>
      <c r="F18" s="259">
        <f>E18+F14*F17</f>
        <v>2140</v>
      </c>
      <c r="G18" s="259">
        <f>F18+G14*G17</f>
        <v>5119</v>
      </c>
      <c r="H18" s="259">
        <f>G18+H14*H17</f>
        <v>11157</v>
      </c>
      <c r="I18" s="259">
        <f t="shared" si="4"/>
        <v>17275</v>
      </c>
      <c r="J18" s="259">
        <f t="shared" si="4"/>
        <v>22852</v>
      </c>
      <c r="K18" s="259">
        <f t="shared" si="4"/>
        <v>26617</v>
      </c>
      <c r="L18" s="260" t="s">
        <v>216</v>
      </c>
      <c r="M18" s="261">
        <f>K18</f>
        <v>26617</v>
      </c>
      <c r="N18" s="262" t="s">
        <v>394</v>
      </c>
    </row>
    <row r="19" spans="1:13" ht="15.75">
      <c r="A19" s="303" t="s">
        <v>331</v>
      </c>
      <c r="B19" s="10"/>
      <c r="C19" s="10"/>
      <c r="D19" s="10"/>
      <c r="E19" s="10"/>
      <c r="F19" s="27"/>
      <c r="G19" s="10"/>
      <c r="H19" s="10"/>
      <c r="I19" s="10"/>
      <c r="J19" s="10"/>
      <c r="K19" s="10"/>
      <c r="L19" s="7" t="s">
        <v>14</v>
      </c>
      <c r="M19" s="216"/>
    </row>
    <row r="20" spans="1:14" ht="15">
      <c r="A20" s="308" t="s">
        <v>332</v>
      </c>
      <c r="B20" s="29">
        <f>B21/D65</f>
        <v>0</v>
      </c>
      <c r="C20" s="29">
        <f>C21/E65</f>
        <v>0</v>
      </c>
      <c r="D20" s="29">
        <f>D21/F65</f>
        <v>0</v>
      </c>
      <c r="E20" s="29">
        <f>E21/G65</f>
        <v>0</v>
      </c>
      <c r="F20" s="29">
        <f>F21/D65</f>
        <v>921687.0090634441</v>
      </c>
      <c r="G20" s="29">
        <f>G21/D65</f>
        <v>1283040</v>
      </c>
      <c r="H20" s="29">
        <f>H21/D65</f>
        <v>2600535.589123867</v>
      </c>
      <c r="I20" s="29">
        <f>I21/D65</f>
        <v>2634991.178247734</v>
      </c>
      <c r="J20" s="29">
        <f>J21/D65</f>
        <v>2401985.256797583</v>
      </c>
      <c r="K20" s="29">
        <f>K21/D65</f>
        <v>1621566.1631419938</v>
      </c>
      <c r="L20" s="26" t="s">
        <v>15</v>
      </c>
      <c r="M20" s="226">
        <f>SUM(B20:K20)</f>
        <v>11463805.196374621</v>
      </c>
      <c r="N20" s="156">
        <f>1</f>
        <v>1</v>
      </c>
    </row>
    <row r="21" spans="1:14" ht="15">
      <c r="A21" s="308" t="s">
        <v>333</v>
      </c>
      <c r="B21" s="24">
        <f>0</f>
        <v>0</v>
      </c>
      <c r="C21" s="24">
        <f>C14*C17*(IF(C16&gt;0,D68,D68/2))*(1-G71)</f>
        <v>0</v>
      </c>
      <c r="D21" s="24">
        <f>D14*D17*(IF(D16&gt;0,E68,E68/2))*(1-G71)</f>
        <v>0</v>
      </c>
      <c r="E21" s="24">
        <f>E14*E17*(IF(E16&gt;0,E68,E68/2))*(1-G71)</f>
        <v>0</v>
      </c>
      <c r="F21" s="27">
        <f aca="true" t="shared" si="5" ref="F21:K21">F14*F17*$D68*(1-$G71)</f>
        <v>7626960</v>
      </c>
      <c r="G21" s="27">
        <f t="shared" si="5"/>
        <v>10617156</v>
      </c>
      <c r="H21" s="27">
        <f t="shared" si="5"/>
        <v>21519432</v>
      </c>
      <c r="I21" s="27">
        <f t="shared" si="5"/>
        <v>21804552</v>
      </c>
      <c r="J21" s="27">
        <f t="shared" si="5"/>
        <v>19876428</v>
      </c>
      <c r="K21" s="27">
        <f t="shared" si="5"/>
        <v>13418460</v>
      </c>
      <c r="L21" s="26" t="s">
        <v>134</v>
      </c>
      <c r="M21" s="222">
        <f>SUM(B21:K21)</f>
        <v>94862988</v>
      </c>
      <c r="N21" s="156">
        <f>M21/M21</f>
        <v>1</v>
      </c>
    </row>
    <row r="22" spans="1:14" ht="15">
      <c r="A22" s="308" t="s">
        <v>334</v>
      </c>
      <c r="B22" s="72">
        <f>0</f>
        <v>0</v>
      </c>
      <c r="C22" s="72">
        <f>0</f>
        <v>0</v>
      </c>
      <c r="D22" s="72">
        <f>0</f>
        <v>0</v>
      </c>
      <c r="E22" s="27">
        <f aca="true" t="shared" si="6" ref="E22:J22">E17*(D50+(IF(E8&gt;$I80,(E6*E7*$G80*$F80*$B80*((1+$E80)^(E3-6)))*(E8+($H80*(E8-$I80))),(E6*E7*$G80*$F80*$B80*(1+$E80)^(E3-6))*E8)))</f>
        <v>0</v>
      </c>
      <c r="F22" s="27">
        <f t="shared" si="6"/>
        <v>301930.20903300104</v>
      </c>
      <c r="G22" s="27">
        <f t="shared" si="6"/>
        <v>303872.83708903904</v>
      </c>
      <c r="H22" s="27">
        <f t="shared" si="6"/>
        <v>611655.9281449642</v>
      </c>
      <c r="I22" s="27">
        <f t="shared" si="6"/>
        <v>615591.3408036109</v>
      </c>
      <c r="J22" s="27">
        <f t="shared" si="6"/>
        <v>557596.8666232189</v>
      </c>
      <c r="K22" s="27">
        <f>K17*(J50+(IF(K8&gt;$I80,(K6*K7*$G80*$F80*($B80*150%)*((1+$E80)^(K3-6)))*(K8+($H80*(K8-$I80))),(K6*K7*$G80*$F80*$B80*(1+$E80)^(K3-6))*K8)))</f>
        <v>498830.6325798366</v>
      </c>
      <c r="L22" s="26" t="s">
        <v>17</v>
      </c>
      <c r="M22" s="222">
        <f>SUM(B22:K22)</f>
        <v>2889477.814273671</v>
      </c>
      <c r="N22" s="156">
        <f>M22/M21</f>
        <v>0.030459485571692837</v>
      </c>
    </row>
    <row r="23" spans="1:14" ht="15">
      <c r="A23" s="308" t="s">
        <v>335</v>
      </c>
      <c r="B23" s="24">
        <v>0</v>
      </c>
      <c r="C23" s="24">
        <f>0</f>
        <v>0</v>
      </c>
      <c r="D23" s="24">
        <f>0</f>
        <v>0</v>
      </c>
      <c r="E23" s="24">
        <f>E17*(D51+(C92*((1-F92)^(-1))*(E11-H89*E12)*(1+((1-H89)*D89*((F89+1)^(G89+1))))))</f>
        <v>0</v>
      </c>
      <c r="F23" s="27">
        <f aca="true" t="shared" si="7" ref="F23:K23">F17*(E51+($B92*((1-$E92)^(F3-6))*(F11-$G89*F12)*(1+((1-$G89)*$C89*((1+$E89)^($F89-F3+6))))))</f>
        <v>5188502.765719902</v>
      </c>
      <c r="G23" s="27">
        <f t="shared" si="7"/>
        <v>5287913.442766368</v>
      </c>
      <c r="H23" s="27">
        <f t="shared" si="7"/>
        <v>10627603.54810593</v>
      </c>
      <c r="I23" s="27">
        <f t="shared" si="7"/>
        <v>10679199.283422451</v>
      </c>
      <c r="J23" s="27">
        <f t="shared" si="7"/>
        <v>9656627.747855956</v>
      </c>
      <c r="K23" s="27">
        <f t="shared" si="7"/>
        <v>6467360.754445971</v>
      </c>
      <c r="L23" s="26" t="s">
        <v>18</v>
      </c>
      <c r="M23" s="222">
        <f>SUM(B23:K23)</f>
        <v>47907207.54231658</v>
      </c>
      <c r="N23" s="156">
        <f>M23/M21</f>
        <v>0.5050147433930352</v>
      </c>
    </row>
    <row r="24" spans="1:14" ht="15">
      <c r="A24" s="307" t="s">
        <v>336</v>
      </c>
      <c r="C24" s="24">
        <f>0</f>
        <v>0</v>
      </c>
      <c r="D24" s="24">
        <f>0</f>
        <v>0</v>
      </c>
      <c r="E24" s="24">
        <f>250000</f>
        <v>250000</v>
      </c>
      <c r="F24" s="24">
        <f aca="true" t="shared" si="8" ref="F24:K24">$B74*F22</f>
        <v>301930.20903300104</v>
      </c>
      <c r="G24" s="24">
        <f t="shared" si="8"/>
        <v>303872.83708903904</v>
      </c>
      <c r="H24" s="24">
        <f t="shared" si="8"/>
        <v>611655.9281449642</v>
      </c>
      <c r="I24" s="24">
        <f t="shared" si="8"/>
        <v>615591.3408036109</v>
      </c>
      <c r="J24" s="24">
        <f t="shared" si="8"/>
        <v>557596.8666232189</v>
      </c>
      <c r="K24" s="24">
        <f t="shared" si="8"/>
        <v>498830.6325798366</v>
      </c>
      <c r="L24" s="12" t="s">
        <v>19</v>
      </c>
      <c r="M24" s="222">
        <f>SUM(B24:K24)</f>
        <v>3139477.8142736703</v>
      </c>
      <c r="N24" s="156">
        <f>M24/M21</f>
        <v>0.03309486534699572</v>
      </c>
    </row>
    <row r="25" spans="1:14" s="17" customFormat="1" ht="15">
      <c r="A25" s="307" t="s">
        <v>337</v>
      </c>
      <c r="B25" s="24">
        <v>0</v>
      </c>
      <c r="C25" s="6" t="str">
        <f>IF(C21=0,"N/A    ",(C21-C22-C23-C24)/C21)</f>
        <v>N/A    </v>
      </c>
      <c r="D25" s="6" t="str">
        <f>IF(D21=0,"N/A    ",(D21-D22-D23-D24)/D21)</f>
        <v>N/A    </v>
      </c>
      <c r="E25" s="6" t="str">
        <f aca="true" t="shared" si="9" ref="E25:K25">IF(E21=0,"N/A    ",(E21-E22-E23-E24)/E21)</f>
        <v>N/A    </v>
      </c>
      <c r="F25" s="6">
        <f t="shared" si="9"/>
        <v>0.24054103026816662</v>
      </c>
      <c r="G25" s="6">
        <f t="shared" si="9"/>
        <v>0.4447044842381098</v>
      </c>
      <c r="H25" s="6">
        <f t="shared" si="9"/>
        <v>0.4492923695943341</v>
      </c>
      <c r="I25" s="6">
        <f t="shared" si="9"/>
        <v>0.453766261052753</v>
      </c>
      <c r="J25" s="6">
        <f t="shared" si="9"/>
        <v>0.45806049854116676</v>
      </c>
      <c r="K25" s="6">
        <f t="shared" si="9"/>
        <v>0.44367520418843553</v>
      </c>
      <c r="L25" s="152" t="s">
        <v>20</v>
      </c>
      <c r="M25" s="227">
        <f>(M21-M22-M23-M24)</f>
        <v>40926824.82913608</v>
      </c>
      <c r="N25" s="156">
        <f>IF(M21=0,"N/A    ",(M21-M22-M23-M24)/M21)</f>
        <v>0.43143090568827624</v>
      </c>
    </row>
    <row r="26" spans="1:14" ht="15">
      <c r="A26" s="307" t="s">
        <v>338</v>
      </c>
      <c r="B26" s="24">
        <v>0</v>
      </c>
      <c r="C26" s="72">
        <f>0</f>
        <v>0</v>
      </c>
      <c r="D26" s="72">
        <f>0</f>
        <v>0</v>
      </c>
      <c r="E26" s="24">
        <f>250000</f>
        <v>250000</v>
      </c>
      <c r="F26" s="30">
        <f aca="true" t="shared" si="10" ref="F26:K26">$C74*$M21/6</f>
        <v>632419.92</v>
      </c>
      <c r="G26" s="30">
        <f t="shared" si="10"/>
        <v>632419.92</v>
      </c>
      <c r="H26" s="30">
        <f t="shared" si="10"/>
        <v>632419.92</v>
      </c>
      <c r="I26" s="30">
        <f t="shared" si="10"/>
        <v>632419.92</v>
      </c>
      <c r="J26" s="30">
        <f t="shared" si="10"/>
        <v>632419.92</v>
      </c>
      <c r="K26" s="30">
        <f t="shared" si="10"/>
        <v>632419.92</v>
      </c>
      <c r="L26" s="12" t="s">
        <v>21</v>
      </c>
      <c r="M26" s="222">
        <f aca="true" t="shared" si="11" ref="M26:M33">SUM(B26:K26)</f>
        <v>4044519.52</v>
      </c>
      <c r="N26" s="156">
        <f>M26/M21</f>
        <v>0.042635379775302885</v>
      </c>
    </row>
    <row r="27" spans="1:14" s="77" customFormat="1" ht="15">
      <c r="A27" s="307" t="s">
        <v>339</v>
      </c>
      <c r="B27" s="72">
        <v>0</v>
      </c>
      <c r="C27" s="24">
        <f>0</f>
        <v>0</v>
      </c>
      <c r="D27" s="24">
        <f>0</f>
        <v>0</v>
      </c>
      <c r="E27" s="72">
        <f>250000</f>
        <v>250000</v>
      </c>
      <c r="F27" s="72">
        <f>250000</f>
        <v>250000</v>
      </c>
      <c r="G27" s="76">
        <f>1000000</f>
        <v>1000000</v>
      </c>
      <c r="H27" s="76">
        <f>D74*J21</f>
        <v>795057.12</v>
      </c>
      <c r="I27" s="76">
        <f>D74*K21*(1+G71)</f>
        <v>542105.784</v>
      </c>
      <c r="J27" s="76">
        <f>D74*K21*(1+G71)</f>
        <v>542105.784</v>
      </c>
      <c r="K27" s="76">
        <f>D74*K21*(1+G71)</f>
        <v>542105.784</v>
      </c>
      <c r="L27" s="75" t="s">
        <v>22</v>
      </c>
      <c r="M27" s="222">
        <f t="shared" si="11"/>
        <v>3921374.472</v>
      </c>
      <c r="N27" s="156">
        <f>M27/M21</f>
        <v>0.04133724389959127</v>
      </c>
    </row>
    <row r="28" spans="1:14" ht="15">
      <c r="A28" s="307" t="s">
        <v>340</v>
      </c>
      <c r="B28" s="24">
        <v>0</v>
      </c>
      <c r="C28" s="24">
        <f>0</f>
        <v>0</v>
      </c>
      <c r="D28" s="24">
        <f>0</f>
        <v>0</v>
      </c>
      <c r="E28" s="24">
        <f>50000</f>
        <v>50000</v>
      </c>
      <c r="F28" s="27">
        <f>E28</f>
        <v>50000</v>
      </c>
      <c r="G28" s="27">
        <f>F28</f>
        <v>50000</v>
      </c>
      <c r="H28" s="27">
        <f>F74*(M21/6)</f>
        <v>474314.94</v>
      </c>
      <c r="I28" s="27">
        <f>H28</f>
        <v>474314.94</v>
      </c>
      <c r="J28" s="27">
        <f>I28</f>
        <v>474314.94</v>
      </c>
      <c r="K28" s="27">
        <f>J28+G74*G65</f>
        <v>488203.3703484099</v>
      </c>
      <c r="L28" s="12" t="s">
        <v>23</v>
      </c>
      <c r="M28" s="222">
        <f t="shared" si="11"/>
        <v>2061148.1903484098</v>
      </c>
      <c r="N28" s="156">
        <f>M28/M21</f>
        <v>0.021727633018985337</v>
      </c>
    </row>
    <row r="29" spans="1:14" ht="15">
      <c r="A29" s="307" t="s">
        <v>341</v>
      </c>
      <c r="B29" s="24">
        <v>0</v>
      </c>
      <c r="C29" s="24">
        <f>0</f>
        <v>0</v>
      </c>
      <c r="D29" s="24">
        <f>0</f>
        <v>0</v>
      </c>
      <c r="E29" s="103">
        <f>$G65*D55-$I65*D42</f>
        <v>35912.61732408149</v>
      </c>
      <c r="F29" s="103">
        <f aca="true" t="shared" si="12" ref="F29:K29">$G65*E55-$I65*E42</f>
        <v>21724.319689084437</v>
      </c>
      <c r="G29" s="103">
        <f t="shared" si="12"/>
        <v>17966.722551283117</v>
      </c>
      <c r="H29" s="103">
        <f t="shared" si="12"/>
        <v>15708.326868572212</v>
      </c>
      <c r="I29" s="103">
        <f t="shared" si="12"/>
        <v>8047.132869408208</v>
      </c>
      <c r="J29" s="103">
        <f t="shared" si="12"/>
        <v>-6684.809340170401</v>
      </c>
      <c r="K29" s="103">
        <f t="shared" si="12"/>
        <v>-23186.972085678175</v>
      </c>
      <c r="L29" s="12" t="s">
        <v>206</v>
      </c>
      <c r="M29" s="222">
        <f t="shared" si="11"/>
        <v>69487.33787658089</v>
      </c>
      <c r="N29" s="156">
        <f>M29/M21</f>
        <v>0.0007325020995183168</v>
      </c>
    </row>
    <row r="30" spans="1:14" ht="15">
      <c r="A30" s="307" t="s">
        <v>342</v>
      </c>
      <c r="B30" s="24">
        <v>0</v>
      </c>
      <c r="C30" s="24">
        <f>0</f>
        <v>0</v>
      </c>
      <c r="D30" s="24">
        <f>0</f>
        <v>0</v>
      </c>
      <c r="E30" s="24">
        <f>E6*C77/F77</f>
        <v>0.24169184290030213</v>
      </c>
      <c r="F30" s="30">
        <f>F6*$B77/$E77</f>
        <v>111111.11111111111</v>
      </c>
      <c r="G30" s="30">
        <f>G6*B77/E77</f>
        <v>111111.11111111111</v>
      </c>
      <c r="H30" s="30">
        <f>H6*B77/E77</f>
        <v>111111.11111111111</v>
      </c>
      <c r="I30" s="30">
        <f>I6*B77/E77</f>
        <v>111111.11111111111</v>
      </c>
      <c r="J30" s="30">
        <f>J6*B77/E77</f>
        <v>111111.11111111111</v>
      </c>
      <c r="K30" s="30">
        <f>K6*B77/E77</f>
        <v>111111.11111111111</v>
      </c>
      <c r="L30" s="12" t="s">
        <v>24</v>
      </c>
      <c r="M30" s="222">
        <f t="shared" si="11"/>
        <v>666666.9083585095</v>
      </c>
      <c r="N30" s="156">
        <f>M30/M21</f>
        <v>0.007027681948606864</v>
      </c>
    </row>
    <row r="31" spans="1:14" ht="15">
      <c r="A31" s="307" t="s">
        <v>343</v>
      </c>
      <c r="B31" s="24">
        <f>(IF((B21-B22-B23-B25-B26-B27-B28-B29-B30)&gt;0,(B21-B22-B23-B25-B26-B27-B28-B29-B30)*$E65,0))</f>
        <v>0</v>
      </c>
      <c r="C31" s="24">
        <f aca="true" t="shared" si="13" ref="C31:K31">IF((C21-C22-C23-C24-C26-C27-C28-C29-C30)&gt;0,(C21-C22-C23-C24-C26-C27-C28-C29-C30)*$E65,0)</f>
        <v>0</v>
      </c>
      <c r="D31" s="24">
        <f t="shared" si="13"/>
        <v>0</v>
      </c>
      <c r="E31" s="24">
        <f t="shared" si="13"/>
        <v>0</v>
      </c>
      <c r="F31" s="24">
        <f t="shared" si="13"/>
        <v>57700.609906042526</v>
      </c>
      <c r="G31" s="24">
        <f t="shared" si="13"/>
        <v>218249.93470448692</v>
      </c>
      <c r="H31" s="24">
        <f t="shared" si="13"/>
        <v>572992.8883218343</v>
      </c>
      <c r="I31" s="24">
        <f t="shared" si="13"/>
        <v>609462.8360242355</v>
      </c>
      <c r="J31" s="24">
        <f t="shared" si="13"/>
        <v>551350.4679844999</v>
      </c>
      <c r="K31" s="24">
        <f t="shared" si="13"/>
        <v>315208.8575265384</v>
      </c>
      <c r="L31" s="12" t="s">
        <v>25</v>
      </c>
      <c r="M31" s="222">
        <f t="shared" si="11"/>
        <v>2324965.5944676376</v>
      </c>
      <c r="N31" s="156">
        <f>M31/M21</f>
        <v>0.024508669223740218</v>
      </c>
    </row>
    <row r="32" spans="1:14" ht="15">
      <c r="A32" s="307" t="s">
        <v>344</v>
      </c>
      <c r="B32" s="24">
        <v>0</v>
      </c>
      <c r="C32" s="27">
        <f>C21-C22-C23-C24-C26-C27-C28-C29-C30-C31</f>
        <v>0</v>
      </c>
      <c r="D32" s="27">
        <f>D21-D22-D23-D24-D26-D27-D28-D29-D30-D31</f>
        <v>0</v>
      </c>
      <c r="E32" s="30">
        <f>E21-E22-E23-E24-E26-E27-E28-E29-E30-E31</f>
        <v>-835912.8590159244</v>
      </c>
      <c r="F32" s="30">
        <f>F21-F22-F23-F24-F26-F27-F28-F29-F30-F31</f>
        <v>711640.8555078577</v>
      </c>
      <c r="G32" s="30">
        <f>G21-G22-G23-G24-G26-G27-G28-G29-G30-G31</f>
        <v>2691749.194688672</v>
      </c>
      <c r="H32" s="30">
        <f>H21-H22-H23-H24-H27-H26-H27-H28-H29-H30-H31</f>
        <v>6271855.169302623</v>
      </c>
      <c r="I32" s="30">
        <f>I21-I22-I23-I24-I26-I27-I28-I29-I30-I31</f>
        <v>7516708.310965572</v>
      </c>
      <c r="J32" s="30">
        <f>J21-J22-J23-J24-J26-J27-J28-J29-J30-J31</f>
        <v>6799989.105142165</v>
      </c>
      <c r="K32" s="30">
        <f>K21-K22-K23-K24-K26-K27-K28-K29-K30-K31</f>
        <v>3887575.909493974</v>
      </c>
      <c r="L32" s="12" t="s">
        <v>26</v>
      </c>
      <c r="M32" s="222">
        <f t="shared" si="11"/>
        <v>27043605.68608494</v>
      </c>
      <c r="N32" s="156">
        <f>M32/M21</f>
        <v>0.2850806859054971</v>
      </c>
    </row>
    <row r="33" spans="1:14" ht="15">
      <c r="A33" s="307" t="s">
        <v>345</v>
      </c>
      <c r="B33" s="24">
        <v>0</v>
      </c>
      <c r="C33" s="24">
        <v>0</v>
      </c>
      <c r="D33" s="24">
        <v>0</v>
      </c>
      <c r="E33" s="29">
        <f aca="true" t="shared" si="14" ref="E33:K33">E32/$D65</f>
        <v>-101016.65969980959</v>
      </c>
      <c r="F33" s="29">
        <f t="shared" si="14"/>
        <v>85998.89492542087</v>
      </c>
      <c r="G33" s="29">
        <f t="shared" si="14"/>
        <v>325286.91174485465</v>
      </c>
      <c r="H33" s="29">
        <f t="shared" si="14"/>
        <v>757928.1171362685</v>
      </c>
      <c r="I33" s="29">
        <f t="shared" si="14"/>
        <v>908363.542110643</v>
      </c>
      <c r="J33" s="29">
        <f t="shared" si="14"/>
        <v>821750.949261893</v>
      </c>
      <c r="K33" s="29">
        <f t="shared" si="14"/>
        <v>469797.69299020834</v>
      </c>
      <c r="L33" s="12" t="s">
        <v>27</v>
      </c>
      <c r="M33" s="226">
        <f t="shared" si="11"/>
        <v>3268109.448469479</v>
      </c>
      <c r="N33" s="156">
        <f>M32/M21</f>
        <v>0.2850806859054971</v>
      </c>
    </row>
    <row r="34" spans="1:14" ht="15">
      <c r="A34" s="307" t="s">
        <v>346</v>
      </c>
      <c r="B34" s="24">
        <v>0</v>
      </c>
      <c r="C34" s="24">
        <v>0</v>
      </c>
      <c r="D34" s="24">
        <v>0</v>
      </c>
      <c r="E34" s="25" t="str">
        <f>IF(E21=0,"N/A    ",E32/E21)</f>
        <v>N/A    </v>
      </c>
      <c r="F34" s="25">
        <f aca="true" t="shared" si="15" ref="F34:K34">IF(F21=0,"N/A    ",F32/F21)</f>
        <v>0.09330596404174897</v>
      </c>
      <c r="G34" s="25">
        <f t="shared" si="15"/>
        <v>0.25352827015903995</v>
      </c>
      <c r="H34" s="25">
        <f t="shared" si="15"/>
        <v>0.29145077664236785</v>
      </c>
      <c r="I34" s="25">
        <f t="shared" si="15"/>
        <v>0.3447311511360367</v>
      </c>
      <c r="J34" s="25">
        <f t="shared" si="15"/>
        <v>0.34211323609766126</v>
      </c>
      <c r="K34" s="25">
        <f t="shared" si="15"/>
        <v>0.28971848554111085</v>
      </c>
      <c r="L34" s="12" t="s">
        <v>28</v>
      </c>
      <c r="M34" s="225">
        <f>M32/M21</f>
        <v>0.2850806859054971</v>
      </c>
      <c r="N34" s="156">
        <f>M32/M21</f>
        <v>0.2850806859054971</v>
      </c>
    </row>
    <row r="35" spans="2:13" ht="15.75">
      <c r="B35" s="31"/>
      <c r="C35" s="31"/>
      <c r="D35" s="25"/>
      <c r="E35" s="25"/>
      <c r="F35" s="25"/>
      <c r="G35" s="25"/>
      <c r="H35" s="25"/>
      <c r="I35" s="25"/>
      <c r="J35" s="25"/>
      <c r="K35" s="78"/>
      <c r="M35" s="264"/>
    </row>
    <row r="36" spans="1:13" ht="15.75">
      <c r="A36" s="310" t="s">
        <v>347</v>
      </c>
      <c r="B36" s="27"/>
      <c r="C36" s="27"/>
      <c r="D36" s="32"/>
      <c r="E36" s="32"/>
      <c r="F36" s="10"/>
      <c r="G36" s="27"/>
      <c r="H36" s="27"/>
      <c r="I36" s="27"/>
      <c r="J36" s="27"/>
      <c r="K36" s="29"/>
      <c r="L36" s="13" t="s">
        <v>29</v>
      </c>
      <c r="M36" s="222"/>
    </row>
    <row r="37" spans="1:14" ht="15">
      <c r="A37" s="307" t="s">
        <v>348</v>
      </c>
      <c r="B37" s="24">
        <f>0</f>
        <v>0</v>
      </c>
      <c r="C37" s="24">
        <f>0</f>
        <v>0</v>
      </c>
      <c r="D37" s="24">
        <f>0</f>
        <v>0</v>
      </c>
      <c r="E37" s="24">
        <f>(E21*C71+D21*D71)/(1-G71)</f>
        <v>0</v>
      </c>
      <c r="F37" s="24">
        <f>(F21*B71+E21*C71+D21*D71+C21*E71)/(1-G71)</f>
        <v>3081600</v>
      </c>
      <c r="G37" s="24">
        <f>(G21*B71+F21*C71+E21*D71+D21*E71+C21*F71)/(1-G71)</f>
        <v>7371360</v>
      </c>
      <c r="H37" s="24">
        <f>(H21*B71+G21*C71+F21*D71+E21*E71+D21*F71)/(1-G71)</f>
        <v>13369680.000000002</v>
      </c>
      <c r="I37" s="24">
        <f>(I21*B71+H21*C71+G21*D71+F21*E71+E21*F71)/(1-G71)</f>
        <v>18734220</v>
      </c>
      <c r="J37" s="24">
        <f>(J21*B71+I21*C71+H21*D71+G21*E71+F21*F71)/(1-G71)</f>
        <v>19278036</v>
      </c>
      <c r="K37" s="24">
        <f>(K21*B71+J21*C71+I21*D71+H21*E71+G21*F71)/(1-G71)</f>
        <v>17046251.999999996</v>
      </c>
      <c r="L37" s="12" t="s">
        <v>30</v>
      </c>
      <c r="M37" s="219">
        <f>SUM(B37:K37)</f>
        <v>78881148</v>
      </c>
      <c r="N37" s="156" t="s">
        <v>394</v>
      </c>
    </row>
    <row r="38" spans="1:14" ht="15">
      <c r="A38" s="307" t="s">
        <v>349</v>
      </c>
      <c r="B38" s="24">
        <f>0</f>
        <v>0</v>
      </c>
      <c r="C38" s="24">
        <f>0</f>
        <v>0</v>
      </c>
      <c r="D38" s="24">
        <f>0</f>
        <v>0</v>
      </c>
      <c r="E38" s="24">
        <f>G74*D65/2</f>
        <v>4137500</v>
      </c>
      <c r="F38" s="24">
        <f>0</f>
        <v>0</v>
      </c>
      <c r="G38" s="24">
        <f>G74*D65/2</f>
        <v>4137500</v>
      </c>
      <c r="H38" s="24">
        <f>0</f>
        <v>0</v>
      </c>
      <c r="I38" s="24">
        <f>0</f>
        <v>0</v>
      </c>
      <c r="J38" s="24">
        <f>-G74*D65*H74</f>
        <v>-496500</v>
      </c>
      <c r="K38" s="24">
        <f>0</f>
        <v>0</v>
      </c>
      <c r="L38" s="12" t="s">
        <v>32</v>
      </c>
      <c r="M38" s="219">
        <f>SUM(B38:K38)</f>
        <v>7778500</v>
      </c>
      <c r="N38" s="156" t="s">
        <v>394</v>
      </c>
    </row>
    <row r="39" spans="1:14" ht="15">
      <c r="A39" s="307" t="s">
        <v>350</v>
      </c>
      <c r="B39" s="24">
        <f>B37+B38</f>
        <v>0</v>
      </c>
      <c r="C39" s="24">
        <f>C37+C38</f>
        <v>0</v>
      </c>
      <c r="D39" s="24">
        <f>D37+D38</f>
        <v>0</v>
      </c>
      <c r="E39" s="24">
        <f>E37+E38</f>
        <v>4137500</v>
      </c>
      <c r="F39" s="24">
        <f aca="true" t="shared" si="16" ref="F39:K39">F37+F38</f>
        <v>3081600</v>
      </c>
      <c r="G39" s="24">
        <f t="shared" si="16"/>
        <v>11508860</v>
      </c>
      <c r="H39" s="24">
        <f t="shared" si="16"/>
        <v>13369680.000000002</v>
      </c>
      <c r="I39" s="24">
        <f t="shared" si="16"/>
        <v>18734220</v>
      </c>
      <c r="J39" s="24">
        <f t="shared" si="16"/>
        <v>18781536</v>
      </c>
      <c r="K39" s="24">
        <f t="shared" si="16"/>
        <v>17046251.999999996</v>
      </c>
      <c r="L39" s="12" t="s">
        <v>33</v>
      </c>
      <c r="M39" s="219">
        <f>SUM(B39:K39)</f>
        <v>86659648</v>
      </c>
      <c r="N39" s="156" t="s">
        <v>394</v>
      </c>
    </row>
    <row r="40" spans="1:14" s="22" customFormat="1" ht="15">
      <c r="A40" s="307" t="s">
        <v>351</v>
      </c>
      <c r="B40" s="33">
        <f>0</f>
        <v>0</v>
      </c>
      <c r="C40" s="33">
        <f>C22+0+C24+C26+C27+C28+C29+(IF(C31-0&gt;0,C31-0,0))+(C6-0)*$C77</f>
        <v>0</v>
      </c>
      <c r="D40" s="33">
        <f>D22+0+D24+D26+D27+D28+D29+(IF(D31-0&gt;0,D31-0,0))+(D6-0)*$C77</f>
        <v>0</v>
      </c>
      <c r="E40" s="33">
        <f>(IF(E8&gt;$I80,(E6*E7*$G80*$F80*$B80*((1+$E80)^(E3-6)))*(E8+($H80*(E8-$I80))),(E6*E7*$G80*$F80*$B80*(1+$E80)^(E3-6))*E8))+0+E24+E26+E27+E28+E29+(IF(E31-D53&gt;0,E31-D53,0))+0+E6*$B77/2+1000000</f>
        <v>4015912.6173240812</v>
      </c>
      <c r="F40" s="33">
        <f>(IF(F8&gt;$I80,(F6*F7*$G80*$F80*$B80*((1+$E80)^(F3-6)))*(F8+($H80*(F8-$I80))),(F6*F7*$G80*$F80*$B80*(1+$E80)^(F3-6))*F8))+(($B92*((1-$E92)^(E3-6))*(E11-$G89*E12)*(1+((1-$G89)*$C89*((1+$E89)^($F89-E3+6)))))+F24+F26+F27+F28+F29+(IF(F31-E53&gt;0,F31-E53,0)))+(E49-D49)+(F6-E6)*$B77</f>
        <v>1558004.6577550867</v>
      </c>
      <c r="G40" s="33">
        <f>(IF(G8&gt;$I80,(G6*G7*$G80*$F80*$B80*((1+$E80)^(G3-6)))*(G8+($H80*(G8-$I80))),(G6*G7*$G80*$F80*$B80*(1+$E80)^(G3-6))*G8))+(($B92*((1-$E92)^(F3-6))*(F11-$G89*F12)*(1+((1-$G89)*$C89*((1+$E89)^($F89-F3+6)))))+G24+G26+G27+G28+G29+(IF(G31-F53&gt;0,G31-F53,0)))+B95+3000*40%*B92+(F49-E49)+G6*$B77/2</f>
        <v>12845687.17668531</v>
      </c>
      <c r="H40" s="33">
        <f>(IF(H8&gt;$I80,(H6*H7*$G80*$F80*$B80*((1+$E80)^(H3-6)))*(H8+($H80*(H8-$I80))),(H6*H7*$G80*$F80*$B80*(1+$E80)^(H3-6))*H8))+(($B92*((1-$E92)^(G3-6))*(G11-$G89*G12)*(1+((1-$G89)*$C89*((1+$E89)^($F89-G3+6)))))+H24+H26+H27+H28+H29+(IF(H31-G53&gt;0,H31-G53,0)))+(G49-F49)+(H6-G6)*$B77+25%*$G55</f>
        <v>11952695.964479532</v>
      </c>
      <c r="I40" s="33">
        <f>(IF(I8&gt;$I80,(I6*I7*$G80*$F80*$B80*((1+$E80)^(I3-6)))*(I8+($H80*(I8-$I80))),(I6*I7*$G80*$F80*$B80*(1+$E80)^(I3-6))*I8))+(($B92*((1-$E92)^(H3-6))*(H11-$G89*H12)*(1+((1-$G89)*$C89*((1+$E89)^($F89-H3+6)))))+I24+I26+I27+I28+I29+(IF(I31-H53&gt;0,I31-H53,0)))+(H49-G49)+(I6-H6)*$B77+25%*$G55</f>
        <v>14450255.113552593</v>
      </c>
      <c r="J40" s="33">
        <f>(IF(J8&gt;$I80,(J6*J7*$G80*$F80*$B80*((1+$E80)^(J3-6)))*(J8+($H80*(J8-$I80))),(J6*J7*$G80*$F80*$B80*(1+$E80)^(J3-6))*J8))+(($B92*((1-$E92)^(I3-6))*(I11-$G89*I12)*(1+((1-$G89)*$C89*((1+$E89)^($F89-I3+6)))))+J24+J26+J27+J28+J29+(IF(J31-I53&gt;0,J31-I53,0)))+(I49-H49)+(J6-I6)*$B77+25%*$G55</f>
        <v>13779798.64769796</v>
      </c>
      <c r="K40" s="33">
        <f>(IF(K8&gt;$I80,(K6*K7*$G80*$F80*($B80*150%)*((1+$E80)^(K3-6)))*(K8+($H80*(K8-$I80))),(K6*K7*$G80*$F80*$B80*(1+$E80)^(K3-6))*K8))+(($B92*((1-$E92)^(J3-6))*(J11-$G89*J12)*(1+((1-$G89)*$C89*((1+$E89)^($F89-J3+6)))))+K24+K26+K27+K28+K29+(IF(K31-J53&gt;0,K31-J53,0)))+(J49-I49)+(K6-J6)*$B77+25%*$G55</f>
        <v>11325540.103560159</v>
      </c>
      <c r="L40" s="69" t="s">
        <v>34</v>
      </c>
      <c r="M40" s="219">
        <f>SUM(B40:K40)</f>
        <v>69927894.28105472</v>
      </c>
      <c r="N40" s="156" t="s">
        <v>394</v>
      </c>
    </row>
    <row r="41" spans="1:14" ht="15">
      <c r="A41" s="307" t="s">
        <v>352</v>
      </c>
      <c r="B41" s="24">
        <f>B39-B40</f>
        <v>0</v>
      </c>
      <c r="C41" s="24">
        <f>C39-C40</f>
        <v>0</v>
      </c>
      <c r="D41" s="24">
        <f>D39-D40</f>
        <v>0</v>
      </c>
      <c r="E41" s="24">
        <f>E39-E40</f>
        <v>121587.38267591875</v>
      </c>
      <c r="F41" s="24">
        <f aca="true" t="shared" si="17" ref="F41:K41">F39-F40</f>
        <v>1523595.3422449133</v>
      </c>
      <c r="G41" s="103">
        <f t="shared" si="17"/>
        <v>-1336827.176685311</v>
      </c>
      <c r="H41" s="24">
        <f>H39-H40</f>
        <v>1416984.0355204698</v>
      </c>
      <c r="I41" s="24">
        <f t="shared" si="17"/>
        <v>4283964.886447407</v>
      </c>
      <c r="J41" s="24">
        <f t="shared" si="17"/>
        <v>5001737.352302041</v>
      </c>
      <c r="K41" s="24">
        <f t="shared" si="17"/>
        <v>5720711.896439837</v>
      </c>
      <c r="L41" s="12" t="s">
        <v>35</v>
      </c>
      <c r="M41" s="219">
        <f>SUM(B41:K41)</f>
        <v>16731753.718945276</v>
      </c>
      <c r="N41" s="156" t="s">
        <v>253</v>
      </c>
    </row>
    <row r="42" spans="1:14" ht="15">
      <c r="A42" s="307" t="s">
        <v>353</v>
      </c>
      <c r="B42" s="35">
        <f>0</f>
        <v>0</v>
      </c>
      <c r="C42" s="35">
        <f>0+C41</f>
        <v>0</v>
      </c>
      <c r="D42" s="35">
        <f>80000</f>
        <v>80000</v>
      </c>
      <c r="E42" s="35">
        <f>D42+E41</f>
        <v>201587.38267591875</v>
      </c>
      <c r="F42" s="35">
        <f aca="true" t="shared" si="18" ref="F42:K42">E42+F41</f>
        <v>1725182.724920832</v>
      </c>
      <c r="G42" s="35">
        <f>F42+G41</f>
        <v>388355.5482355212</v>
      </c>
      <c r="H42" s="35">
        <f t="shared" si="18"/>
        <v>1805339.583755991</v>
      </c>
      <c r="I42" s="35">
        <f t="shared" si="18"/>
        <v>6089304.470203398</v>
      </c>
      <c r="J42" s="35">
        <f t="shared" si="18"/>
        <v>11091041.822505439</v>
      </c>
      <c r="K42" s="35">
        <f t="shared" si="18"/>
        <v>16811753.718945276</v>
      </c>
      <c r="L42" s="34" t="s">
        <v>36</v>
      </c>
      <c r="M42" s="219">
        <f>K42</f>
        <v>16811753.718945276</v>
      </c>
      <c r="N42" s="156" t="s">
        <v>253</v>
      </c>
    </row>
    <row r="43" spans="1:14" ht="15">
      <c r="A43" s="307" t="s">
        <v>354</v>
      </c>
      <c r="B43" s="24">
        <v>0</v>
      </c>
      <c r="C43" s="24">
        <v>0</v>
      </c>
      <c r="D43" s="78">
        <f>D42/D65</f>
        <v>9667.673716012085</v>
      </c>
      <c r="E43" s="38">
        <f>E42/D65</f>
        <v>24361.013012195617</v>
      </c>
      <c r="F43" s="38">
        <f>F42/D65</f>
        <v>208481.2960629404</v>
      </c>
      <c r="G43" s="38">
        <f>G42/D65</f>
        <v>46931.18407680014</v>
      </c>
      <c r="H43" s="38">
        <f>H42/D65</f>
        <v>218167.9255294249</v>
      </c>
      <c r="I43" s="38">
        <f>I42/D65</f>
        <v>735867.6096922535</v>
      </c>
      <c r="J43" s="38">
        <f>J42/D65</f>
        <v>1340307.1688828324</v>
      </c>
      <c r="K43" s="38">
        <f>K42/D65</f>
        <v>2031631.8693589456</v>
      </c>
      <c r="L43" s="37" t="s">
        <v>37</v>
      </c>
      <c r="M43" s="226">
        <f>K43</f>
        <v>2031631.8693589456</v>
      </c>
      <c r="N43" s="156" t="s">
        <v>253</v>
      </c>
    </row>
    <row r="44" spans="2:13" ht="15">
      <c r="B44" s="39"/>
      <c r="C44" s="39"/>
      <c r="D44" s="39"/>
      <c r="E44" s="39"/>
      <c r="F44" s="40"/>
      <c r="G44" s="40"/>
      <c r="H44" s="40"/>
      <c r="I44" s="40"/>
      <c r="J44" s="40"/>
      <c r="L44" s="36"/>
      <c r="M44" s="265"/>
    </row>
    <row r="45" spans="1:14" s="77" customFormat="1" ht="15.75">
      <c r="A45" s="303" t="s">
        <v>355</v>
      </c>
      <c r="B45" s="90"/>
      <c r="C45" s="90"/>
      <c r="D45" s="90"/>
      <c r="E45" s="90"/>
      <c r="F45" s="89"/>
      <c r="G45" s="99"/>
      <c r="H45" s="99"/>
      <c r="I45" s="99"/>
      <c r="J45" s="99"/>
      <c r="K45" s="99"/>
      <c r="L45" s="98" t="s">
        <v>184</v>
      </c>
      <c r="M45" s="226"/>
      <c r="N45" s="156"/>
    </row>
    <row r="46" spans="1:14" ht="15">
      <c r="A46" s="307" t="s">
        <v>353</v>
      </c>
      <c r="B46" s="71">
        <f>B42</f>
        <v>0</v>
      </c>
      <c r="C46" s="71">
        <f aca="true" t="shared" si="19" ref="C46:K46">C42</f>
        <v>0</v>
      </c>
      <c r="D46" s="71">
        <f>D42</f>
        <v>80000</v>
      </c>
      <c r="E46" s="71">
        <f>E42</f>
        <v>201587.38267591875</v>
      </c>
      <c r="F46" s="71">
        <f t="shared" si="19"/>
        <v>1725182.724920832</v>
      </c>
      <c r="G46" s="71">
        <f t="shared" si="19"/>
        <v>388355.5482355212</v>
      </c>
      <c r="H46" s="71">
        <f t="shared" si="19"/>
        <v>1805339.583755991</v>
      </c>
      <c r="I46" s="71">
        <f t="shared" si="19"/>
        <v>6089304.470203398</v>
      </c>
      <c r="J46" s="71">
        <f t="shared" si="19"/>
        <v>11091041.822505439</v>
      </c>
      <c r="K46" s="71">
        <f t="shared" si="19"/>
        <v>16811753.718945276</v>
      </c>
      <c r="L46" s="36" t="s">
        <v>36</v>
      </c>
      <c r="M46" s="219">
        <f>M42</f>
        <v>16811753.718945276</v>
      </c>
      <c r="N46" s="156" t="s">
        <v>253</v>
      </c>
    </row>
    <row r="47" spans="1:14" ht="15">
      <c r="A47" s="307" t="s">
        <v>356</v>
      </c>
      <c r="B47" s="24">
        <v>0</v>
      </c>
      <c r="C47" s="24">
        <v>0</v>
      </c>
      <c r="D47" s="24">
        <v>0</v>
      </c>
      <c r="E47" s="40">
        <f>E48/E65</f>
        <v>0</v>
      </c>
      <c r="F47" s="40">
        <f>F48/D65</f>
        <v>549288.2175226586</v>
      </c>
      <c r="G47" s="40">
        <f>G48/D65</f>
        <v>941529.4259818731</v>
      </c>
      <c r="H47" s="40">
        <f>H48/D65</f>
        <v>1926393.7160120844</v>
      </c>
      <c r="I47" s="40">
        <f>I48/D65</f>
        <v>2297430.8157099695</v>
      </c>
      <c r="J47" s="40">
        <f>J48/D65</f>
        <v>2369744.0483383685</v>
      </c>
      <c r="K47" s="40">
        <f>K48/D65</f>
        <v>1931340.1812688825</v>
      </c>
      <c r="L47" s="34" t="s">
        <v>39</v>
      </c>
      <c r="M47" s="226">
        <f aca="true" t="shared" si="20" ref="M47:M53">K47</f>
        <v>1931340.1812688825</v>
      </c>
      <c r="N47" s="156" t="s">
        <v>253</v>
      </c>
    </row>
    <row r="48" spans="1:14" ht="15">
      <c r="A48" s="307" t="s">
        <v>348</v>
      </c>
      <c r="B48" s="35">
        <f>0</f>
        <v>0</v>
      </c>
      <c r="C48" s="35">
        <f>0+D21-D37</f>
        <v>0</v>
      </c>
      <c r="D48" s="35">
        <f>0+E21-E37</f>
        <v>0</v>
      </c>
      <c r="E48" s="35">
        <f>D48+E21-E37</f>
        <v>0</v>
      </c>
      <c r="F48" s="35">
        <f aca="true" t="shared" si="21" ref="F48:K48">E48+F21-F37</f>
        <v>4545360</v>
      </c>
      <c r="G48" s="35">
        <f t="shared" si="21"/>
        <v>7791156</v>
      </c>
      <c r="H48" s="35">
        <f t="shared" si="21"/>
        <v>15940907.999999998</v>
      </c>
      <c r="I48" s="35">
        <f t="shared" si="21"/>
        <v>19011240</v>
      </c>
      <c r="J48" s="35">
        <f t="shared" si="21"/>
        <v>19609632</v>
      </c>
      <c r="K48" s="35">
        <f t="shared" si="21"/>
        <v>15981840.000000004</v>
      </c>
      <c r="L48" s="36" t="s">
        <v>40</v>
      </c>
      <c r="M48" s="219">
        <f t="shared" si="20"/>
        <v>15981840.000000004</v>
      </c>
      <c r="N48" s="156" t="s">
        <v>253</v>
      </c>
    </row>
    <row r="49" spans="1:14" ht="15">
      <c r="A49" s="311" t="s">
        <v>357</v>
      </c>
      <c r="B49" s="35">
        <f>0</f>
        <v>0</v>
      </c>
      <c r="C49" s="35">
        <f>(G92*12/365)*D23</f>
        <v>0</v>
      </c>
      <c r="D49" s="35">
        <f>B95+3000*30%*B92</f>
        <v>5355000</v>
      </c>
      <c r="E49" s="35">
        <f>D49</f>
        <v>5355000</v>
      </c>
      <c r="F49" s="35">
        <f>($G92*12/365)*($B92*((1-$E92)^(F3-6)))*(G11-$G89*G12)*(1+((1-$G89)*($C89*((1+$E89)^($F89-F3+6)))))</f>
        <v>2625795.0140517135</v>
      </c>
      <c r="G49" s="35">
        <f>($G92*12/365)*($B92*((1-$E92)^(G3-6)))*(H11-$G89*H12)*(1+((1-$G89)*($C89*((1+$E89)^($F89-G3+6)))))</f>
        <v>5276772.484284543</v>
      </c>
      <c r="H49" s="35">
        <f>($G92*12/365)*($B92*((1-$E92)^(H3-6)))*(I11-$G89*I12)*(1+((1-$G89)*($C89*((1+$E89)^($F89-H3+6)))))</f>
        <v>5301890.755230343</v>
      </c>
      <c r="I49" s="35">
        <f>($G92*12/365)*($B92*((1-$E92)^(I3-6)))*(J11-$G89*J12)*(1+((1-$G89)*($C89*((1+$E89)^($F89-I3+6)))))</f>
        <v>4793790.083615083</v>
      </c>
      <c r="J49" s="35">
        <f>($G92*12/365)*($B92*((1-$E92)^(J3-6)))*(K11-$G89*K12)*(1+((1-$G89)*($C89*((1+$E89)^($F89-J3+6)))))</f>
        <v>3210290.2143703424</v>
      </c>
      <c r="K49" s="35">
        <f>(G92*12/365)*($B92*((1-$E92)^(K3-6))*(J11-$G89*J12)*(1+((1-$G89)*$C89*((1+$E89)^($F89-K3+6)))))*(IF(K16&gt;$G80,1,IF(K16&lt;0,0,K16/$G80)))</f>
        <v>3089107.093867821</v>
      </c>
      <c r="L49" s="36" t="s">
        <v>197</v>
      </c>
      <c r="M49" s="219">
        <f t="shared" si="20"/>
        <v>3089107.093867821</v>
      </c>
      <c r="N49" s="156" t="s">
        <v>253</v>
      </c>
    </row>
    <row r="50" spans="1:14" s="22" customFormat="1" ht="15">
      <c r="A50" s="312" t="s">
        <v>358</v>
      </c>
      <c r="B50" s="24">
        <f>0</f>
        <v>0</v>
      </c>
      <c r="C50" s="24"/>
      <c r="D50" s="24"/>
      <c r="E50" s="24">
        <f>0</f>
        <v>0</v>
      </c>
      <c r="F50" s="24">
        <f>(100%-F17)*(E50+(IF(F8&gt;I80,(F6*F7*G80*F80*B80*((1+E80)^1))*(F8+(H80*(F8-I80))),(F6*F7*G80*F80*B80*(1+E80)^1)*F8)))</f>
        <v>0</v>
      </c>
      <c r="G50" s="24">
        <f>(100%-G17)*(F50+(IF(G8&gt;I80,(G6*G7*G80*F80*B80*((1+E80)^2))*(G8+(H80*(G8-I80))),(G6*G7*G80*F80*B80*((1+E80)^2))*G8)))</f>
        <v>0</v>
      </c>
      <c r="H50" s="24">
        <f>(1-H17)*(G50+(IF(H8&gt;I80,(H6*H7*G80*F80*B80*((1+E80)^3)*(H8+(H80*(H8-I80)))),(H6*H7*G80*F80*B80*((1+E80)^3))*H8)))</f>
        <v>0</v>
      </c>
      <c r="I50" s="24">
        <f>(1-I17)*(H50+(IF(I8&gt;I80,(I6*I7*G80*F80*B80*((1+E80)^4)*(I8+(H80*(I8-I80)))),(I6*I7*G80*F80*B80*((1+E80)^4)*I8))))</f>
        <v>0</v>
      </c>
      <c r="J50" s="24">
        <f>(100%-J17)*(I50+(IF(J8&gt;I80,(J6*J7*G80*F80*B80*((1+E80)^5))*(J8+(H80*(J8-I80))),(J6*J7*G80*F80*B80*((1+E80)^5))*J8)))</f>
        <v>0</v>
      </c>
      <c r="K50" s="24">
        <f>(1-K17)*(J50+(IF(K8&gt;I80,(K6*1.5*K7*G80*F80*(B80*150%)*((1+E80)^6))*(K8+(H80*(K8-I80))),(K6*1.5*K7*G80*F80*B80*((1+E80)^6))*K8)))</f>
        <v>0</v>
      </c>
      <c r="L50" s="70" t="s">
        <v>194</v>
      </c>
      <c r="M50" s="219">
        <f t="shared" si="20"/>
        <v>0</v>
      </c>
      <c r="N50" s="156" t="s">
        <v>253</v>
      </c>
    </row>
    <row r="51" spans="1:14" ht="15">
      <c r="A51" s="312" t="s">
        <v>359</v>
      </c>
      <c r="B51" s="24">
        <f>0</f>
        <v>0</v>
      </c>
      <c r="C51" s="24">
        <f>0</f>
        <v>0</v>
      </c>
      <c r="D51" s="24">
        <f>0</f>
        <v>0</v>
      </c>
      <c r="E51" s="24">
        <f>E14*E68*(100%-E17)</f>
        <v>0</v>
      </c>
      <c r="F51" s="24">
        <f>(100%-F17)*(E51+(B92*((1-E92)^1)*(F11-G89*F12)*(1+((1-G89)*(C89*((1+E89)^(F89-1)))))))</f>
        <v>0</v>
      </c>
      <c r="G51" s="24">
        <f>(100%-G17)*(F51+(B92*((1-E92)^2)*(G11-G89*G12)*(1+((1-G89)*C89*((1+E89)^(F89-2))))))</f>
        <v>0</v>
      </c>
      <c r="H51" s="24">
        <f>(100%-H17)*(G51+(B92*((1-E92)^3)*(H11-G89*H12)*(1+((1-G89)*C89*((1+E89)^(F89-3))))))</f>
        <v>0</v>
      </c>
      <c r="I51" s="24">
        <f>(100%-I17)*(H51+(B92*((1-E92)^4)*(I11-G89*I12)*(1+((1-G89)*C89*((1+E89)^(F89-4))))))</f>
        <v>0</v>
      </c>
      <c r="J51" s="24">
        <f>(100%-J17)*(I51+(B92*((1-E92)^5)*(J11-G89*J12)*(1+((1-G89)*C89*((1+E89)^(F89-5))))))</f>
        <v>0</v>
      </c>
      <c r="K51" s="24">
        <f>(100%-K17)*(J51+(B92*((1-E92)^6)*(K11-G89*K12)*(1+((1-G89)*C89*((1+E89)^(F89-6))))))</f>
        <v>0</v>
      </c>
      <c r="L51" s="37" t="s">
        <v>195</v>
      </c>
      <c r="M51" s="219">
        <f t="shared" si="20"/>
        <v>0</v>
      </c>
      <c r="N51" s="156" t="s">
        <v>253</v>
      </c>
    </row>
    <row r="52" spans="1:14" s="22" customFormat="1" ht="15">
      <c r="A52" s="312" t="s">
        <v>360</v>
      </c>
      <c r="B52" s="24">
        <f>0</f>
        <v>0</v>
      </c>
      <c r="C52" s="24">
        <f>0</f>
        <v>0</v>
      </c>
      <c r="D52" s="24">
        <f>0</f>
        <v>0</v>
      </c>
      <c r="E52" s="24">
        <f>D52+(E6-D6)*$C77*D65-E30</f>
        <v>3999999.7583081573</v>
      </c>
      <c r="F52" s="24">
        <f aca="true" t="shared" si="22" ref="F52:K52">E52+(F6-E6)*$C77*E65-F30</f>
        <v>3888888.6471970463</v>
      </c>
      <c r="G52" s="24">
        <f t="shared" si="22"/>
        <v>3777777.5360859353</v>
      </c>
      <c r="H52" s="24">
        <f t="shared" si="22"/>
        <v>3666666.4249748243</v>
      </c>
      <c r="I52" s="24">
        <f t="shared" si="22"/>
        <v>3555555.3138637133</v>
      </c>
      <c r="J52" s="24">
        <f t="shared" si="22"/>
        <v>3444444.2027526023</v>
      </c>
      <c r="K52" s="24">
        <f t="shared" si="22"/>
        <v>3333333.0916414913</v>
      </c>
      <c r="L52" s="15" t="s">
        <v>41</v>
      </c>
      <c r="M52" s="219">
        <f t="shared" si="20"/>
        <v>3333333.0916414913</v>
      </c>
      <c r="N52" s="156" t="s">
        <v>253</v>
      </c>
    </row>
    <row r="53" spans="1:14" s="22" customFormat="1" ht="15">
      <c r="A53" s="313" t="s">
        <v>361</v>
      </c>
      <c r="B53" s="24">
        <f>0</f>
        <v>0</v>
      </c>
      <c r="C53" s="24">
        <f>IF(0-(C21-C22-C23-C24-C26-C27-C28-C29-C30)*$E65&gt;0,(0-(C21-C22-C23-C24-C26-C27-C28-C29-C30)*$E65),0)</f>
        <v>0</v>
      </c>
      <c r="D53" s="24">
        <f>IF(0-(D21-D22-D23-D24-D26-D27-D28-D29-D30)*$E65&gt;0,(0-(D21-D22-D23-D24-D26-D27-D28-D29-D30)*$E65),0)</f>
        <v>0</v>
      </c>
      <c r="E53" s="24">
        <f>IF(D53-(E21-E22-E23-E24-E26-E27-E28-E29-E30)*$E65&gt;0,(D53-(E21-E22-E23-E24-E26-E27-E28-E29-E30)*$E65),0)</f>
        <v>62693.464426194325</v>
      </c>
      <c r="F53" s="24">
        <f aca="true" t="shared" si="23" ref="F53:K53">IF(E53-(F21-F22-F23-F24-F26-F27-F28-F29-F30)*$E65&gt;0,(E53-(F21-F22-F23-F24-F26-F27-F28-F29-F30)*$E65),0)</f>
        <v>4992.854520151799</v>
      </c>
      <c r="G53" s="24">
        <f t="shared" si="23"/>
        <v>0</v>
      </c>
      <c r="H53" s="24">
        <f t="shared" si="23"/>
        <v>0</v>
      </c>
      <c r="I53" s="24">
        <f t="shared" si="23"/>
        <v>0</v>
      </c>
      <c r="J53" s="24">
        <f t="shared" si="23"/>
        <v>0</v>
      </c>
      <c r="K53" s="24">
        <f t="shared" si="23"/>
        <v>0</v>
      </c>
      <c r="L53" s="15" t="s">
        <v>260</v>
      </c>
      <c r="M53" s="219">
        <f t="shared" si="20"/>
        <v>0</v>
      </c>
      <c r="N53" s="156" t="s">
        <v>253</v>
      </c>
    </row>
    <row r="54" spans="1:14" s="22" customFormat="1" ht="15.75">
      <c r="A54" s="314" t="s">
        <v>362</v>
      </c>
      <c r="B54" s="24">
        <f>B46+B48+B49+B50+B51+B52</f>
        <v>0</v>
      </c>
      <c r="C54" s="24">
        <f>C46+C48+C49+C50+C51+C52+C53</f>
        <v>0</v>
      </c>
      <c r="D54" s="24">
        <f>D46+D48+D49+D50+D51+D52+D53</f>
        <v>5435000</v>
      </c>
      <c r="E54" s="24">
        <f aca="true" t="shared" si="24" ref="E54:K54">E46+E48+E49+E50+E51+E52+E53</f>
        <v>9619280.605410272</v>
      </c>
      <c r="F54" s="24">
        <f t="shared" si="24"/>
        <v>12790219.240689741</v>
      </c>
      <c r="G54" s="24">
        <f t="shared" si="24"/>
        <v>17234061.568605997</v>
      </c>
      <c r="H54" s="24">
        <f t="shared" si="24"/>
        <v>26714804.763961155</v>
      </c>
      <c r="I54" s="24">
        <f t="shared" si="24"/>
        <v>33449889.867682196</v>
      </c>
      <c r="J54" s="24">
        <f t="shared" si="24"/>
        <v>37355408.23962838</v>
      </c>
      <c r="K54" s="24">
        <f t="shared" si="24"/>
        <v>39216033.9044546</v>
      </c>
      <c r="L54" s="15" t="s">
        <v>185</v>
      </c>
      <c r="M54" s="219">
        <f>M46+M48+M49+M50+M51+M52</f>
        <v>39216033.9044546</v>
      </c>
      <c r="N54" s="156" t="s">
        <v>253</v>
      </c>
    </row>
    <row r="55" spans="1:14" s="235" customFormat="1" ht="15.75">
      <c r="A55" s="312" t="s">
        <v>363</v>
      </c>
      <c r="B55" s="125">
        <f>0</f>
        <v>0</v>
      </c>
      <c r="C55" s="125">
        <v>0</v>
      </c>
      <c r="D55" s="125">
        <f>SUM(D95:H95)</f>
        <v>2600000</v>
      </c>
      <c r="E55" s="125">
        <f>D55-1000000</f>
        <v>1600000</v>
      </c>
      <c r="F55" s="125">
        <f>E55</f>
        <v>1600000</v>
      </c>
      <c r="G55" s="125">
        <f>F55-25%*$F55</f>
        <v>1200000</v>
      </c>
      <c r="H55" s="125">
        <f>G55-25%*$G55</f>
        <v>900000</v>
      </c>
      <c r="I55" s="125">
        <f>H55-25%*$G55</f>
        <v>600000</v>
      </c>
      <c r="J55" s="125">
        <f>I55-25%*$G55</f>
        <v>300000</v>
      </c>
      <c r="K55" s="125">
        <f>J55-25%*$G55</f>
        <v>0</v>
      </c>
      <c r="L55" s="235" t="s">
        <v>42</v>
      </c>
      <c r="M55" s="256">
        <f>K55</f>
        <v>0</v>
      </c>
      <c r="N55" s="156" t="s">
        <v>253</v>
      </c>
    </row>
    <row r="56" spans="1:14" ht="15.75">
      <c r="A56" s="312" t="s">
        <v>364</v>
      </c>
      <c r="B56" s="24">
        <f>B49+0</f>
        <v>0</v>
      </c>
      <c r="C56" s="24">
        <f>C49+0</f>
        <v>0</v>
      </c>
      <c r="D56" s="129">
        <f>$C95</f>
        <v>500000</v>
      </c>
      <c r="E56" s="24">
        <f>E49-D49+0</f>
        <v>0</v>
      </c>
      <c r="F56" s="24">
        <f>E56+((B92*((1-E92)^1))*(F11-G89*F12)*(1+((1-G89)*(C89*((1+E89)^(F89-1))))))-((B92*((1-E92)^0))*(E11-G89*E12)*(1+((1-G89)*(C89*((1+E89)^F89)))))+((F49-E49)-(E49-D49))</f>
        <v>2459297.7797716153</v>
      </c>
      <c r="G56" s="24">
        <f>F56+((B92*((1-E92)^2))*(G11-G89*G12)*(1+((1-G89)*(C89*((1+E89)^(F89-2))))))-((B92*((1-E92)^1))*(F11-G89*F12)*(1+((1-G89)*(C89*((1+E89)^(F89-1))))))+((G49-F49)-(F49-E49))</f>
        <v>7938890.912999198</v>
      </c>
      <c r="H56" s="24">
        <f>G56+((B92*((1-E92)^3))*(H11-G89*H12)*(1+((1-G89)*(C89*((1+E89)^(F89-3))))))-((B92*((1-E92)^2))*(G11-G89*G12)*(1+((1-G89)*(C89*((1+E89)^(F89-2))))))+((H49-G49)-(G49-F49))</f>
        <v>10652721.819051731</v>
      </c>
      <c r="I56" s="24">
        <f>H56+((B92*((1-E92)^4))*(I11-G89*I12)*(1+((1-G89)*(C89*((1+E89)^(F89-4))))))-((B92*((1-E92)^3))*(H11-G89*H12)*(1+((1-G89)*(C89*((1+E89)^(F89-3))))))+((I49-H49)-(H49-G49))</f>
        <v>10171098.611807194</v>
      </c>
      <c r="J56" s="24">
        <f>I56+((B92*((1-E92)^5))*(J11-G89*J12)*(1+((1-G89)*(C89*((1+E89)^(F89-5))))))-((B92*((1-E92)^4))*(I11-G89*I12)*(1+((1-G89)*(C89*((1+E89)^(F89-4))))))+((J49-I49)-(I49-H49))</f>
        <v>8073127.878611218</v>
      </c>
      <c r="K56" s="24">
        <f>J56+((B92*((1-E92)^6))*(K11-G89*K12)*(1+((1-G89)*(C89*((1+E89)^(F89-6))))))-((B92*((1-E92)^5))*(J11-G89*J12)*(1+((1-G89)*(C89*((1+E89)^(F89-5))))))+((K49-J49)-(J49-I49))</f>
        <v>6346177.633943453</v>
      </c>
      <c r="L56" s="18" t="s">
        <v>43</v>
      </c>
      <c r="M56" s="219">
        <f>K56</f>
        <v>6346177.633943453</v>
      </c>
      <c r="N56" s="156" t="s">
        <v>253</v>
      </c>
    </row>
    <row r="57" spans="1:14" ht="15.75">
      <c r="A57" s="312" t="s">
        <v>365</v>
      </c>
      <c r="B57" s="24">
        <v>0</v>
      </c>
      <c r="C57" s="24">
        <v>0</v>
      </c>
      <c r="D57" s="78">
        <f>D56/D65</f>
        <v>60422.96072507553</v>
      </c>
      <c r="E57" s="24">
        <v>0</v>
      </c>
      <c r="F57" s="29">
        <f>F56/D65</f>
        <v>297196.1063168115</v>
      </c>
      <c r="G57" s="29">
        <f>G56/D65</f>
        <v>959382.587673619</v>
      </c>
      <c r="H57" s="29">
        <f>H56/D65</f>
        <v>1287337.9841754357</v>
      </c>
      <c r="I57" s="29">
        <f>I56/D65</f>
        <v>1229135.7839041925</v>
      </c>
      <c r="J57" s="29">
        <f>J56/D65</f>
        <v>975604.5774756758</v>
      </c>
      <c r="K57" s="29">
        <f>K56/D65</f>
        <v>766909.6838602361</v>
      </c>
      <c r="L57" s="18" t="s">
        <v>44</v>
      </c>
      <c r="M57" s="226">
        <f>K57</f>
        <v>766909.6838602361</v>
      </c>
      <c r="N57" s="156" t="s">
        <v>253</v>
      </c>
    </row>
    <row r="58" spans="1:14" ht="15">
      <c r="A58" s="312" t="s">
        <v>366</v>
      </c>
      <c r="B58" s="24">
        <v>0</v>
      </c>
      <c r="C58" s="24">
        <f>C42+C48+C51+C52-C55-C56</f>
        <v>0</v>
      </c>
      <c r="D58" s="24">
        <f>D54-D55-D56</f>
        <v>2335000</v>
      </c>
      <c r="E58" s="24">
        <f>E54-E55-E56</f>
        <v>8019280.605410272</v>
      </c>
      <c r="F58" s="30">
        <f aca="true" t="shared" si="25" ref="F58:K58">F54-F55-F56</f>
        <v>8730921.460918127</v>
      </c>
      <c r="G58" s="30">
        <f t="shared" si="25"/>
        <v>8095170.655606799</v>
      </c>
      <c r="H58" s="30">
        <f t="shared" si="25"/>
        <v>15162082.944909424</v>
      </c>
      <c r="I58" s="30">
        <f t="shared" si="25"/>
        <v>22678791.255875003</v>
      </c>
      <c r="J58" s="30">
        <f t="shared" si="25"/>
        <v>28982280.361017164</v>
      </c>
      <c r="K58" s="30">
        <f t="shared" si="25"/>
        <v>32869856.270511143</v>
      </c>
      <c r="L58" s="18" t="s">
        <v>45</v>
      </c>
      <c r="M58" s="222">
        <f>M54-M55-M56</f>
        <v>32869856.270511143</v>
      </c>
      <c r="N58" s="156" t="s">
        <v>253</v>
      </c>
    </row>
    <row r="59" spans="1:14" s="22" customFormat="1" ht="15.75">
      <c r="A59" s="314" t="s">
        <v>367</v>
      </c>
      <c r="B59" s="24">
        <f>B55+B56+B58</f>
        <v>0</v>
      </c>
      <c r="C59" s="24">
        <f>C55+C56+C58</f>
        <v>0</v>
      </c>
      <c r="D59" s="24">
        <f>D55+D56+D58</f>
        <v>5435000</v>
      </c>
      <c r="E59" s="24">
        <f>E55+E56+E58</f>
        <v>9619280.605410272</v>
      </c>
      <c r="F59" s="24">
        <f aca="true" t="shared" si="26" ref="F59:K59">F55+F56+F58</f>
        <v>12790219.240689741</v>
      </c>
      <c r="G59" s="24">
        <f t="shared" si="26"/>
        <v>17234061.568605997</v>
      </c>
      <c r="H59" s="24">
        <f t="shared" si="26"/>
        <v>26714804.763961155</v>
      </c>
      <c r="I59" s="24">
        <f t="shared" si="26"/>
        <v>33449889.867682196</v>
      </c>
      <c r="J59" s="24">
        <f t="shared" si="26"/>
        <v>37355408.23962838</v>
      </c>
      <c r="K59" s="24">
        <f t="shared" si="26"/>
        <v>39216033.9044546</v>
      </c>
      <c r="L59" s="15" t="s">
        <v>186</v>
      </c>
      <c r="M59" s="219">
        <f>M55+M56+M58</f>
        <v>39216033.9044546</v>
      </c>
      <c r="N59" s="156" t="s">
        <v>253</v>
      </c>
    </row>
    <row r="60" spans="1:14" ht="15">
      <c r="A60" s="312" t="s">
        <v>368</v>
      </c>
      <c r="B60" s="24">
        <v>0</v>
      </c>
      <c r="C60" s="24">
        <v>0</v>
      </c>
      <c r="D60" s="78">
        <f>D59/D65</f>
        <v>656797.5830815709</v>
      </c>
      <c r="E60" s="29">
        <f>E58/D65</f>
        <v>969097.3541281295</v>
      </c>
      <c r="F60" s="29">
        <f>F58/D65</f>
        <v>1055096.24905355</v>
      </c>
      <c r="G60" s="29">
        <f>G58/D65</f>
        <v>978268.357173027</v>
      </c>
      <c r="H60" s="29">
        <f>H58/D65</f>
        <v>1832275.8845811991</v>
      </c>
      <c r="I60" s="29">
        <f>I58/D65</f>
        <v>2740639.426691843</v>
      </c>
      <c r="J60" s="29">
        <f>J58/D65</f>
        <v>3502390.375953736</v>
      </c>
      <c r="K60" s="29">
        <f>K58/D65</f>
        <v>3972188.0689439448</v>
      </c>
      <c r="L60" s="18" t="s">
        <v>46</v>
      </c>
      <c r="M60" s="226">
        <f>K60</f>
        <v>3972188.0689439448</v>
      </c>
      <c r="N60" s="156" t="s">
        <v>253</v>
      </c>
    </row>
    <row r="61" spans="1:14" ht="15.75">
      <c r="A61" s="307" t="s">
        <v>369</v>
      </c>
      <c r="B61" s="24">
        <v>0</v>
      </c>
      <c r="C61" s="24">
        <v>0</v>
      </c>
      <c r="D61" s="16" t="s">
        <v>304</v>
      </c>
      <c r="E61" s="257">
        <f>G74/35%</f>
        <v>2857142.8571428573</v>
      </c>
      <c r="F61" s="16" t="s">
        <v>48</v>
      </c>
      <c r="G61" s="16" t="s">
        <v>48</v>
      </c>
      <c r="H61" s="16" t="s">
        <v>48</v>
      </c>
      <c r="I61" s="16" t="s">
        <v>48</v>
      </c>
      <c r="J61" s="16" t="s">
        <v>48</v>
      </c>
      <c r="K61" s="41" t="s">
        <v>126</v>
      </c>
      <c r="L61" s="12" t="s">
        <v>133</v>
      </c>
      <c r="M61" s="229" t="s">
        <v>48</v>
      </c>
      <c r="N61" s="164" t="s">
        <v>287</v>
      </c>
    </row>
    <row r="62" spans="2:13" ht="15">
      <c r="B62" s="10"/>
      <c r="C62" s="10"/>
      <c r="D62" s="10"/>
      <c r="E62" s="42"/>
      <c r="M62" s="208"/>
    </row>
    <row r="63" ht="15.75">
      <c r="A63" s="7" t="s">
        <v>265</v>
      </c>
    </row>
    <row r="65" spans="1:13" ht="15.75">
      <c r="A65" s="10" t="s">
        <v>49</v>
      </c>
      <c r="B65" s="63">
        <f>3980</f>
        <v>3980</v>
      </c>
      <c r="C65" s="64">
        <v>3600</v>
      </c>
      <c r="D65" s="237">
        <v>8.275</v>
      </c>
      <c r="E65" s="120">
        <v>0.075</v>
      </c>
      <c r="F65" s="59">
        <f>18%</f>
        <v>0.18</v>
      </c>
      <c r="G65" s="60">
        <f>(1+F65)^(1/12)-1</f>
        <v>0.01388843034840992</v>
      </c>
      <c r="H65" s="62">
        <f>3%</f>
        <v>0.03</v>
      </c>
      <c r="I65" s="60">
        <f>10^((1/12)*LOG(1+H65))-1</f>
        <v>0.0024662697723036864</v>
      </c>
      <c r="J65" s="66">
        <f>15</f>
        <v>15</v>
      </c>
      <c r="K65" s="59">
        <f>0.5</f>
        <v>0.5</v>
      </c>
      <c r="L65" t="s">
        <v>49</v>
      </c>
      <c r="M65" s="207">
        <v>0.6</v>
      </c>
    </row>
    <row r="66" spans="1:14" s="46" customFormat="1" ht="15">
      <c r="A66" s="44"/>
      <c r="B66" s="44" t="s">
        <v>50</v>
      </c>
      <c r="C66" s="44" t="s">
        <v>51</v>
      </c>
      <c r="D66" s="44" t="s">
        <v>52</v>
      </c>
      <c r="E66" s="44" t="s">
        <v>53</v>
      </c>
      <c r="F66" s="44" t="s">
        <v>187</v>
      </c>
      <c r="G66" s="10" t="s">
        <v>188</v>
      </c>
      <c r="H66" s="44" t="s">
        <v>54</v>
      </c>
      <c r="I66" s="10" t="s">
        <v>55</v>
      </c>
      <c r="J66" s="44" t="s">
        <v>56</v>
      </c>
      <c r="K66" s="44" t="s">
        <v>57</v>
      </c>
      <c r="L66"/>
      <c r="M66" s="206" t="s">
        <v>212</v>
      </c>
      <c r="N66" s="156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M67" s="206"/>
    </row>
    <row r="68" spans="1:13" ht="15.75">
      <c r="A68" s="10" t="s">
        <v>58</v>
      </c>
      <c r="B68" s="119">
        <f>3600</f>
        <v>3600</v>
      </c>
      <c r="C68" s="27">
        <f>F68</f>
        <v>3400</v>
      </c>
      <c r="D68" s="47">
        <f>B68</f>
        <v>3600</v>
      </c>
      <c r="E68" s="27">
        <f>3500</f>
        <v>3500</v>
      </c>
      <c r="F68" s="27">
        <f>'2006'!F68</f>
        <v>3400</v>
      </c>
      <c r="G68" s="10"/>
      <c r="H68" s="10"/>
      <c r="I68" s="10"/>
      <c r="J68" s="10"/>
      <c r="K68" s="10"/>
      <c r="L68" t="s">
        <v>58</v>
      </c>
      <c r="M68" s="206"/>
    </row>
    <row r="69" spans="1:14" s="46" customFormat="1" ht="15">
      <c r="A69" s="10" t="s">
        <v>59</v>
      </c>
      <c r="B69" s="44" t="s">
        <v>60</v>
      </c>
      <c r="C69" s="10" t="s">
        <v>61</v>
      </c>
      <c r="D69" s="44" t="s">
        <v>381</v>
      </c>
      <c r="E69" s="20" t="s">
        <v>379</v>
      </c>
      <c r="F69" s="10" t="s">
        <v>382</v>
      </c>
      <c r="G69" s="44"/>
      <c r="H69" s="44"/>
      <c r="I69" s="44"/>
      <c r="J69" s="44"/>
      <c r="K69" s="44"/>
      <c r="L69" t="s">
        <v>59</v>
      </c>
      <c r="M69" s="206"/>
      <c r="N69" s="156"/>
    </row>
    <row r="70" spans="1:13" ht="15">
      <c r="A70" s="10"/>
      <c r="B70" s="10"/>
      <c r="C70" s="10"/>
      <c r="D70" s="10"/>
      <c r="E70" s="20"/>
      <c r="F70" s="10"/>
      <c r="G70" s="10"/>
      <c r="H70" s="10"/>
      <c r="I70" s="10"/>
      <c r="J70" s="10"/>
      <c r="K70" s="10"/>
      <c r="M70" s="206"/>
    </row>
    <row r="71" spans="1:13" ht="15.75">
      <c r="A71" s="10" t="s">
        <v>62</v>
      </c>
      <c r="B71" s="121">
        <f>40%</f>
        <v>0.4</v>
      </c>
      <c r="C71" s="121">
        <f>40%</f>
        <v>0.4</v>
      </c>
      <c r="D71" s="121">
        <f>5%</f>
        <v>0.05</v>
      </c>
      <c r="E71" s="122">
        <f>1-B71-C71-D71-F71-G71</f>
        <v>0.08999999999999997</v>
      </c>
      <c r="F71" s="120">
        <v>0.05</v>
      </c>
      <c r="G71" s="120">
        <f>1%</f>
        <v>0.01</v>
      </c>
      <c r="H71" s="16" t="s">
        <v>63</v>
      </c>
      <c r="I71" s="7" t="s">
        <v>64</v>
      </c>
      <c r="J71" s="16" t="s">
        <v>63</v>
      </c>
      <c r="K71" s="10"/>
      <c r="L71" t="s">
        <v>62</v>
      </c>
      <c r="M71" s="206"/>
    </row>
    <row r="72" spans="1:14" s="46" customFormat="1" ht="15">
      <c r="A72" s="10" t="s">
        <v>65</v>
      </c>
      <c r="B72" s="44" t="s">
        <v>66</v>
      </c>
      <c r="C72" s="44" t="s">
        <v>67</v>
      </c>
      <c r="D72" s="44" t="s">
        <v>68</v>
      </c>
      <c r="E72" s="10" t="s">
        <v>69</v>
      </c>
      <c r="F72" s="44" t="s">
        <v>70</v>
      </c>
      <c r="G72" s="44" t="s">
        <v>71</v>
      </c>
      <c r="H72" s="44" t="s">
        <v>72</v>
      </c>
      <c r="I72" s="44" t="s">
        <v>73</v>
      </c>
      <c r="J72" s="44" t="s">
        <v>74</v>
      </c>
      <c r="K72" s="44"/>
      <c r="L72" t="s">
        <v>65</v>
      </c>
      <c r="M72" s="206"/>
      <c r="N72" s="156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M73" s="206"/>
    </row>
    <row r="74" spans="1:13" ht="15.75">
      <c r="A74" s="10" t="s">
        <v>75</v>
      </c>
      <c r="B74" s="120">
        <v>1</v>
      </c>
      <c r="C74" s="59">
        <f>4%</f>
        <v>0.04</v>
      </c>
      <c r="D74" s="62">
        <f>4%</f>
        <v>0.04</v>
      </c>
      <c r="E74" s="62">
        <v>0.03</v>
      </c>
      <c r="F74" s="62">
        <f>3%</f>
        <v>0.03</v>
      </c>
      <c r="G74" s="123">
        <f>1000000</f>
        <v>1000000</v>
      </c>
      <c r="H74" s="59">
        <f>6%</f>
        <v>0.06</v>
      </c>
      <c r="I74" s="10"/>
      <c r="J74" s="10"/>
      <c r="K74" s="10"/>
      <c r="L74" t="s">
        <v>75</v>
      </c>
      <c r="M74" s="206"/>
    </row>
    <row r="75" spans="1:14" s="46" customFormat="1" ht="15">
      <c r="A75" s="10" t="s">
        <v>59</v>
      </c>
      <c r="B75" s="44" t="s">
        <v>76</v>
      </c>
      <c r="C75" s="44" t="s">
        <v>77</v>
      </c>
      <c r="D75" s="44" t="s">
        <v>200</v>
      </c>
      <c r="E75" s="44" t="s">
        <v>201</v>
      </c>
      <c r="F75" s="45" t="s">
        <v>189</v>
      </c>
      <c r="G75" s="44" t="s">
        <v>78</v>
      </c>
      <c r="H75" s="44" t="s">
        <v>79</v>
      </c>
      <c r="I75" s="44"/>
      <c r="J75" s="44"/>
      <c r="K75" s="44"/>
      <c r="L75" t="s">
        <v>59</v>
      </c>
      <c r="M75" s="206"/>
      <c r="N75" s="156"/>
    </row>
    <row r="76" spans="1:13" ht="15">
      <c r="A76" s="10"/>
      <c r="B76" s="47"/>
      <c r="C76" s="27"/>
      <c r="D76" s="47"/>
      <c r="E76" s="27"/>
      <c r="F76" s="27"/>
      <c r="G76" s="49"/>
      <c r="H76" s="49"/>
      <c r="I76" s="50"/>
      <c r="J76" s="10"/>
      <c r="K76" s="10"/>
      <c r="M76" s="206"/>
    </row>
    <row r="77" spans="1:12" ht="15.75">
      <c r="A77" s="10" t="s">
        <v>80</v>
      </c>
      <c r="B77" s="119">
        <v>4000000</v>
      </c>
      <c r="C77" s="29">
        <f>B77/D65</f>
        <v>483383.68580060423</v>
      </c>
      <c r="D77" s="44">
        <v>2</v>
      </c>
      <c r="E77" s="155">
        <v>36</v>
      </c>
      <c r="F77" s="64">
        <v>2000000</v>
      </c>
      <c r="G77" s="47">
        <v>2000000</v>
      </c>
      <c r="H77" s="47">
        <v>3000000</v>
      </c>
      <c r="I77" s="10"/>
      <c r="J77" s="10"/>
      <c r="K77" s="10"/>
      <c r="L77" t="s">
        <v>80</v>
      </c>
    </row>
    <row r="78" spans="1:14" s="46" customFormat="1" ht="15">
      <c r="A78" s="44"/>
      <c r="B78" s="44" t="s">
        <v>81</v>
      </c>
      <c r="C78" s="10" t="s">
        <v>82</v>
      </c>
      <c r="D78" s="44" t="s">
        <v>83</v>
      </c>
      <c r="E78" s="44" t="s">
        <v>85</v>
      </c>
      <c r="F78" s="44" t="s">
        <v>86</v>
      </c>
      <c r="G78" s="44" t="s">
        <v>398</v>
      </c>
      <c r="H78" s="44" t="s">
        <v>399</v>
      </c>
      <c r="I78" s="44"/>
      <c r="J78" s="44"/>
      <c r="K78" s="44"/>
      <c r="L78"/>
      <c r="M78" s="210"/>
      <c r="N78" s="156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M79" s="206"/>
    </row>
    <row r="80" spans="1:12" ht="15.75">
      <c r="A80" s="10" t="s">
        <v>87</v>
      </c>
      <c r="B80" s="124">
        <v>20</v>
      </c>
      <c r="C80" s="74">
        <f>B80*((1+E80)^32)</f>
        <v>24.556134886930696</v>
      </c>
      <c r="D80" s="59">
        <f>8%</f>
        <v>0.08</v>
      </c>
      <c r="E80" s="60">
        <f>((1+D80)^(1/12))-1</f>
        <v>0.00643403011000343</v>
      </c>
      <c r="F80" s="125">
        <v>75</v>
      </c>
      <c r="G80" s="61">
        <v>4</v>
      </c>
      <c r="H80" s="59">
        <f>0%</f>
        <v>0</v>
      </c>
      <c r="I80" s="21">
        <f>40</f>
        <v>40</v>
      </c>
      <c r="J80" s="10"/>
      <c r="K80" s="10"/>
      <c r="L80" t="s">
        <v>87</v>
      </c>
    </row>
    <row r="81" spans="1:14" s="46" customFormat="1" ht="15">
      <c r="A81" s="44"/>
      <c r="B81" s="44" t="s">
        <v>88</v>
      </c>
      <c r="C81" s="10" t="s">
        <v>89</v>
      </c>
      <c r="D81" s="44" t="s">
        <v>90</v>
      </c>
      <c r="E81" s="10" t="s">
        <v>91</v>
      </c>
      <c r="F81" s="44" t="s">
        <v>92</v>
      </c>
      <c r="G81" s="44" t="s">
        <v>93</v>
      </c>
      <c r="H81" s="44" t="s">
        <v>305</v>
      </c>
      <c r="I81" s="21" t="s">
        <v>217</v>
      </c>
      <c r="J81" s="44"/>
      <c r="K81" s="44"/>
      <c r="L81"/>
      <c r="M81" s="210"/>
      <c r="N81" s="156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M82" s="206"/>
    </row>
    <row r="83" spans="1:13" ht="15.75">
      <c r="A83" s="10" t="s">
        <v>95</v>
      </c>
      <c r="B83" s="154">
        <v>16</v>
      </c>
      <c r="C83" s="155">
        <v>20</v>
      </c>
      <c r="D83" s="25">
        <f>-1+(1+E83)^12</f>
        <v>0.1180339887498969</v>
      </c>
      <c r="E83" s="25">
        <f>10^((1/F83)*LOG(C83/B83))-1</f>
        <v>0.009341005370091082</v>
      </c>
      <c r="F83" s="21">
        <v>24</v>
      </c>
      <c r="G83" s="10"/>
      <c r="H83" s="10"/>
      <c r="I83" s="10"/>
      <c r="J83" s="10"/>
      <c r="K83" s="10"/>
      <c r="L83" t="s">
        <v>95</v>
      </c>
      <c r="M83" s="206"/>
    </row>
    <row r="84" spans="1:14" s="46" customFormat="1" ht="15">
      <c r="A84" s="10" t="s">
        <v>96</v>
      </c>
      <c r="B84" s="44" t="s">
        <v>97</v>
      </c>
      <c r="C84" s="44" t="s">
        <v>98</v>
      </c>
      <c r="D84" s="10" t="s">
        <v>99</v>
      </c>
      <c r="E84" s="10" t="s">
        <v>100</v>
      </c>
      <c r="F84" s="44" t="s">
        <v>183</v>
      </c>
      <c r="G84" s="44"/>
      <c r="H84" s="44"/>
      <c r="I84" s="44"/>
      <c r="J84" s="44"/>
      <c r="K84" s="44"/>
      <c r="L84" t="s">
        <v>96</v>
      </c>
      <c r="M84" s="206"/>
      <c r="N84" s="156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M85" s="206"/>
    </row>
    <row r="86" spans="1:13" ht="15.75">
      <c r="A86" s="10" t="s">
        <v>101</v>
      </c>
      <c r="B86" s="120">
        <v>0.05</v>
      </c>
      <c r="C86" s="62">
        <v>0.025</v>
      </c>
      <c r="D86" s="25">
        <f>-1+(1+E86)^12</f>
        <v>0.400521241759376</v>
      </c>
      <c r="E86" s="25">
        <f>1-10^(-(1/F86)*LOG(B86/C86))</f>
        <v>0.02846805884639414</v>
      </c>
      <c r="F86" s="21">
        <v>24</v>
      </c>
      <c r="G86" s="10"/>
      <c r="H86" s="10"/>
      <c r="I86" s="10"/>
      <c r="J86" s="10"/>
      <c r="K86" s="10"/>
      <c r="L86" t="s">
        <v>101</v>
      </c>
      <c r="M86" s="206"/>
    </row>
    <row r="87" spans="1:13" ht="15">
      <c r="A87" s="10" t="s">
        <v>102</v>
      </c>
      <c r="B87" s="44" t="s">
        <v>103</v>
      </c>
      <c r="C87" s="44" t="s">
        <v>104</v>
      </c>
      <c r="D87" s="10" t="s">
        <v>105</v>
      </c>
      <c r="E87" s="10" t="s">
        <v>106</v>
      </c>
      <c r="F87" s="44" t="s">
        <v>183</v>
      </c>
      <c r="G87" s="10"/>
      <c r="H87" s="10"/>
      <c r="I87" s="10"/>
      <c r="J87" s="10"/>
      <c r="K87" s="10"/>
      <c r="L87" t="s">
        <v>102</v>
      </c>
      <c r="M87" s="206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M88" s="206"/>
    </row>
    <row r="89" spans="1:13" ht="15.75">
      <c r="A89" s="10" t="s">
        <v>107</v>
      </c>
      <c r="B89" s="120">
        <v>0.05</v>
      </c>
      <c r="C89" s="62">
        <v>0.01</v>
      </c>
      <c r="D89" s="50">
        <f>-1+(1+E89)^12</f>
        <v>1.1257599138147394</v>
      </c>
      <c r="E89" s="50">
        <f>1-10^(-(1/F89)*LOG(B89/C89))</f>
        <v>0.06486082735179577</v>
      </c>
      <c r="F89" s="21">
        <v>24</v>
      </c>
      <c r="G89" s="58">
        <f>33%</f>
        <v>0.33</v>
      </c>
      <c r="H89" s="32"/>
      <c r="I89" s="10"/>
      <c r="J89" s="10"/>
      <c r="K89" s="10"/>
      <c r="L89" t="s">
        <v>107</v>
      </c>
      <c r="M89" s="206"/>
    </row>
    <row r="90" spans="1:13" ht="15">
      <c r="A90" s="10" t="s">
        <v>108</v>
      </c>
      <c r="B90" s="44" t="s">
        <v>109</v>
      </c>
      <c r="C90" s="44" t="s">
        <v>110</v>
      </c>
      <c r="D90" s="10" t="s">
        <v>111</v>
      </c>
      <c r="E90" s="10" t="s">
        <v>112</v>
      </c>
      <c r="F90" s="44" t="s">
        <v>183</v>
      </c>
      <c r="G90" s="44" t="s">
        <v>84</v>
      </c>
      <c r="H90" s="12"/>
      <c r="I90" s="10"/>
      <c r="J90" s="10"/>
      <c r="K90" s="10"/>
      <c r="L90" t="s">
        <v>108</v>
      </c>
      <c r="M90" s="206"/>
    </row>
    <row r="91" spans="1:13" ht="15">
      <c r="A91" s="10"/>
      <c r="B91" s="10"/>
      <c r="C91" s="10"/>
      <c r="D91" s="10"/>
      <c r="E91" s="10"/>
      <c r="F91" s="10"/>
      <c r="G91" s="10"/>
      <c r="H91" s="12"/>
      <c r="I91" s="10"/>
      <c r="J91" s="10"/>
      <c r="K91" s="10"/>
      <c r="M91" s="206"/>
    </row>
    <row r="92" spans="1:13" ht="15.75">
      <c r="A92" s="10" t="s">
        <v>113</v>
      </c>
      <c r="B92" s="119">
        <f>1700</f>
        <v>1700</v>
      </c>
      <c r="C92" s="65">
        <v>1500</v>
      </c>
      <c r="D92" s="50">
        <f>-1+(1+E92)^12</f>
        <v>0.06423570420608771</v>
      </c>
      <c r="E92" s="25">
        <f>1-10^(-(1/F92)*LOG(B92/C92))</f>
        <v>0.0052015557700146875</v>
      </c>
      <c r="F92" s="21">
        <v>24</v>
      </c>
      <c r="G92" s="125">
        <v>15</v>
      </c>
      <c r="H92" s="12"/>
      <c r="I92" s="10"/>
      <c r="J92" s="10"/>
      <c r="K92" s="10"/>
      <c r="L92" t="s">
        <v>113</v>
      </c>
      <c r="M92" s="206"/>
    </row>
    <row r="93" spans="1:13" ht="15">
      <c r="A93" s="10" t="s">
        <v>114</v>
      </c>
      <c r="B93" s="44" t="s">
        <v>115</v>
      </c>
      <c r="C93" s="44" t="s">
        <v>116</v>
      </c>
      <c r="D93" s="10" t="s">
        <v>117</v>
      </c>
      <c r="E93" s="10" t="s">
        <v>118</v>
      </c>
      <c r="F93" s="44" t="s">
        <v>183</v>
      </c>
      <c r="G93" s="44" t="s">
        <v>196</v>
      </c>
      <c r="H93" s="12"/>
      <c r="I93" s="10"/>
      <c r="J93" s="10"/>
      <c r="K93" s="10"/>
      <c r="L93" t="s">
        <v>114</v>
      </c>
      <c r="M93" s="206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2"/>
      <c r="M94" s="206"/>
    </row>
    <row r="95" spans="1:13" ht="15.75">
      <c r="A95" s="10" t="s">
        <v>301</v>
      </c>
      <c r="B95" s="115">
        <f>3000*75%*B92</f>
        <v>3825000</v>
      </c>
      <c r="C95" s="115">
        <f>500000</f>
        <v>500000</v>
      </c>
      <c r="D95" s="114">
        <v>2000000</v>
      </c>
      <c r="E95" s="114">
        <v>500000</v>
      </c>
      <c r="F95" s="114">
        <v>0</v>
      </c>
      <c r="G95" s="114">
        <v>0</v>
      </c>
      <c r="H95" s="114">
        <v>100000</v>
      </c>
      <c r="I95" s="10"/>
      <c r="J95" s="10"/>
      <c r="K95" s="12"/>
      <c r="M95" s="206"/>
    </row>
    <row r="96" spans="1:14" s="46" customFormat="1" ht="15">
      <c r="A96" s="44"/>
      <c r="B96" s="44" t="s">
        <v>302</v>
      </c>
      <c r="C96" s="44" t="s">
        <v>303</v>
      </c>
      <c r="D96" s="44" t="s">
        <v>296</v>
      </c>
      <c r="E96" s="44" t="s">
        <v>297</v>
      </c>
      <c r="F96" s="44" t="s">
        <v>298</v>
      </c>
      <c r="G96" s="44" t="s">
        <v>299</v>
      </c>
      <c r="H96" s="44" t="s">
        <v>300</v>
      </c>
      <c r="I96" s="44"/>
      <c r="J96" s="44"/>
      <c r="K96" s="45"/>
      <c r="M96" s="254"/>
      <c r="N96" s="255"/>
    </row>
    <row r="97" spans="2:4" ht="15">
      <c r="B97" s="10"/>
      <c r="C97" s="10"/>
      <c r="D97" s="10"/>
    </row>
    <row r="98" spans="2:4" ht="15">
      <c r="B98" s="10"/>
      <c r="C98" s="10"/>
      <c r="D98" s="10"/>
    </row>
    <row r="99" spans="2:4" ht="15">
      <c r="B99" s="10"/>
      <c r="C99" s="10"/>
      <c r="D99" s="10"/>
    </row>
    <row r="100" spans="1:12" ht="15.75">
      <c r="A100" s="7" t="s">
        <v>119</v>
      </c>
      <c r="B100" s="10"/>
      <c r="C100" s="10"/>
      <c r="D100" s="10"/>
      <c r="E100" s="16" t="s">
        <v>277</v>
      </c>
      <c r="F100" s="10" t="s">
        <v>276</v>
      </c>
      <c r="G100" s="12" t="s">
        <v>275</v>
      </c>
      <c r="H100" s="16" t="s">
        <v>278</v>
      </c>
      <c r="L100" t="s">
        <v>119</v>
      </c>
    </row>
    <row r="101" spans="1:12" ht="15">
      <c r="A101" s="16"/>
      <c r="B101" s="10"/>
      <c r="C101" s="10"/>
      <c r="D101" s="10"/>
      <c r="F101" s="34"/>
      <c r="L101" t="s">
        <v>120</v>
      </c>
    </row>
    <row r="102" spans="1:12" ht="15">
      <c r="A102" s="10" t="s">
        <v>311</v>
      </c>
      <c r="B102" s="16" t="s">
        <v>16</v>
      </c>
      <c r="C102" s="16" t="s">
        <v>121</v>
      </c>
      <c r="D102" s="16" t="s">
        <v>122</v>
      </c>
      <c r="E102" s="16" t="s">
        <v>123</v>
      </c>
      <c r="F102" s="190"/>
      <c r="G102" s="16" t="s">
        <v>16</v>
      </c>
      <c r="H102" s="16" t="s">
        <v>121</v>
      </c>
      <c r="I102" s="16" t="s">
        <v>122</v>
      </c>
      <c r="J102" s="16" t="s">
        <v>123</v>
      </c>
      <c r="L102" t="s">
        <v>311</v>
      </c>
    </row>
    <row r="103" spans="1:12" ht="15">
      <c r="A103" s="10" t="s">
        <v>273</v>
      </c>
      <c r="B103" s="30">
        <f>M21</f>
        <v>94862988</v>
      </c>
      <c r="C103" s="30">
        <f>M25</f>
        <v>40926824.82913608</v>
      </c>
      <c r="D103" s="30">
        <f>M24+M26+M27+M28</f>
        <v>13166519.996622078</v>
      </c>
      <c r="E103" s="43">
        <f>M32</f>
        <v>27043605.68608494</v>
      </c>
      <c r="F103" s="191"/>
      <c r="G103" s="51">
        <f>ROUNDDOWN(B103,-7)</f>
        <v>90000000</v>
      </c>
      <c r="H103" s="51">
        <f>ROUNDDOWN(C103,-7)</f>
        <v>40000000</v>
      </c>
      <c r="I103" s="51">
        <f>ROUNDDOWN(D103,-6)</f>
        <v>13000000</v>
      </c>
      <c r="J103" s="51">
        <f>ROUNDDOWN(E103,-6)</f>
        <v>27000000</v>
      </c>
      <c r="L103" t="s">
        <v>273</v>
      </c>
    </row>
    <row r="104" spans="1:12" ht="15">
      <c r="A104" s="10" t="s">
        <v>274</v>
      </c>
      <c r="B104" s="52">
        <f>M20</f>
        <v>11463805.196374621</v>
      </c>
      <c r="C104" s="29">
        <f>C103/D65</f>
        <v>4945839.85850587</v>
      </c>
      <c r="D104" s="29">
        <f>D103/D65</f>
        <v>1591120.2412836347</v>
      </c>
      <c r="E104" s="53">
        <f>E103/D65</f>
        <v>3268109.448469479</v>
      </c>
      <c r="F104" s="191"/>
      <c r="G104" s="181">
        <f>ROUNDDOWN(B104,-6)</f>
        <v>11000000</v>
      </c>
      <c r="H104" s="53">
        <f>ROUNDDOWN(C104,-5)</f>
        <v>4900000</v>
      </c>
      <c r="I104" s="53">
        <f>ROUNDDOWN(D104,-5)</f>
        <v>1500000</v>
      </c>
      <c r="J104" s="53">
        <f>ROUNDDOWN(E104,-5)</f>
        <v>3200000</v>
      </c>
      <c r="L104" t="s">
        <v>274</v>
      </c>
    </row>
    <row r="105" spans="1:12" ht="15">
      <c r="A105" s="10" t="s">
        <v>271</v>
      </c>
      <c r="B105" s="10"/>
      <c r="C105" s="25">
        <f>N25</f>
        <v>0.43143090568827624</v>
      </c>
      <c r="D105" s="25">
        <f>D103/M21</f>
        <v>0.13879512204087519</v>
      </c>
      <c r="E105" s="17">
        <f>E103/B103</f>
        <v>0.2850806859054971</v>
      </c>
      <c r="F105" s="191"/>
      <c r="H105" s="54">
        <f>C103/B103</f>
        <v>0.43143090568827624</v>
      </c>
      <c r="I105" s="54">
        <f>D103/B103</f>
        <v>0.13879512204087519</v>
      </c>
      <c r="J105" s="54">
        <f>E103/B103</f>
        <v>0.2850806859054971</v>
      </c>
      <c r="L105" t="s">
        <v>271</v>
      </c>
    </row>
    <row r="106" spans="1:6" ht="15">
      <c r="A106" s="10"/>
      <c r="B106" s="10"/>
      <c r="C106" s="10"/>
      <c r="D106" s="10"/>
      <c r="F106" s="191"/>
    </row>
    <row r="107" spans="1:12" ht="15">
      <c r="A107" s="10" t="s">
        <v>312</v>
      </c>
      <c r="B107" s="16" t="s">
        <v>279</v>
      </c>
      <c r="C107" s="16" t="s">
        <v>124</v>
      </c>
      <c r="D107" s="16" t="s">
        <v>40</v>
      </c>
      <c r="E107" s="16" t="s">
        <v>43</v>
      </c>
      <c r="F107" s="190" t="s">
        <v>125</v>
      </c>
      <c r="G107" s="16" t="s">
        <v>279</v>
      </c>
      <c r="H107" s="16" t="s">
        <v>124</v>
      </c>
      <c r="I107" s="16" t="s">
        <v>40</v>
      </c>
      <c r="J107" s="16" t="s">
        <v>43</v>
      </c>
      <c r="K107" s="211" t="s">
        <v>125</v>
      </c>
      <c r="L107" t="s">
        <v>312</v>
      </c>
    </row>
    <row r="108" spans="1:12" ht="15">
      <c r="A108" s="31" t="s">
        <v>273</v>
      </c>
      <c r="B108" s="43">
        <f>G42</f>
        <v>388355.5482355212</v>
      </c>
      <c r="C108" s="30">
        <f>M42</f>
        <v>16811753.718945276</v>
      </c>
      <c r="D108" s="27">
        <f>(SUM(E48:K48))/7</f>
        <v>11840019.42857143</v>
      </c>
      <c r="E108" s="28">
        <f>(SUM(E56:K56))/7</f>
        <v>6520187.805169201</v>
      </c>
      <c r="F108" s="192">
        <f>M58</f>
        <v>32869856.270511143</v>
      </c>
      <c r="G108" s="47">
        <f>ROUNDDOWN(B108,-5)</f>
        <v>300000</v>
      </c>
      <c r="H108" s="47">
        <f>ROUNDDOWN(C108,-6)</f>
        <v>16000000</v>
      </c>
      <c r="I108" s="47">
        <f>ROUNDDOWN(D108,-6)</f>
        <v>11000000</v>
      </c>
      <c r="J108" s="47">
        <f>ROUNDDOWN(E108,-5)</f>
        <v>6500000</v>
      </c>
      <c r="K108" s="47">
        <f>ROUNDDOWN(F108,-6)</f>
        <v>32000000</v>
      </c>
      <c r="L108" t="s">
        <v>273</v>
      </c>
    </row>
    <row r="109" spans="1:12" ht="15">
      <c r="A109" s="10" t="s">
        <v>274</v>
      </c>
      <c r="B109" s="55">
        <f>G43</f>
        <v>46931.18407680014</v>
      </c>
      <c r="C109" s="52">
        <f>M43</f>
        <v>2031631.8693589456</v>
      </c>
      <c r="D109" s="29">
        <f>D108/D65</f>
        <v>1430818.0578334052</v>
      </c>
      <c r="E109" s="53">
        <f>E108/D65</f>
        <v>787938.1033437101</v>
      </c>
      <c r="F109" s="193">
        <f>M58/D65</f>
        <v>3972188.0689439448</v>
      </c>
      <c r="G109" s="29">
        <f>ROUNDDOWN(B109,-4)</f>
        <v>40000</v>
      </c>
      <c r="H109" s="29">
        <f>ROUNDDOWN(C109,-5)</f>
        <v>2000000</v>
      </c>
      <c r="I109" s="29">
        <f>ROUNDDOWN(D109,-5)</f>
        <v>1400000</v>
      </c>
      <c r="J109" s="29">
        <f>ROUNDDOWN(E109,-4)</f>
        <v>780000</v>
      </c>
      <c r="K109" s="29">
        <f>ROUNDDOWN(F109,-5)</f>
        <v>3900000</v>
      </c>
      <c r="L109" t="s">
        <v>274</v>
      </c>
    </row>
    <row r="110" spans="1:12" ht="15">
      <c r="A110" s="10" t="s">
        <v>272</v>
      </c>
      <c r="B110" s="10" t="s">
        <v>127</v>
      </c>
      <c r="C110" s="10"/>
      <c r="D110" s="31">
        <f>(365/12)*(D108/(M21/7))</f>
        <v>26.574510492964865</v>
      </c>
      <c r="E110" s="42">
        <f>(365/12)*(E108/(M21/7))</f>
        <v>14.634334030436358</v>
      </c>
      <c r="F110" s="191"/>
      <c r="G110" s="10" t="s">
        <v>127</v>
      </c>
      <c r="I110" s="130">
        <f>ROUNDDOWN(D110,0)</f>
        <v>26</v>
      </c>
      <c r="J110" s="130">
        <f>ROUNDDOWN(E110,0)</f>
        <v>14</v>
      </c>
      <c r="L110" t="s">
        <v>272</v>
      </c>
    </row>
    <row r="111" spans="1:6" ht="15">
      <c r="A111" s="10"/>
      <c r="B111" s="10"/>
      <c r="C111" s="10"/>
      <c r="D111" s="10"/>
      <c r="F111" s="191"/>
    </row>
    <row r="112" spans="1:12" ht="15">
      <c r="A112" s="10" t="s">
        <v>128</v>
      </c>
      <c r="B112" s="315" t="s">
        <v>395</v>
      </c>
      <c r="C112" s="316" t="s">
        <v>396</v>
      </c>
      <c r="D112" s="316" t="s">
        <v>397</v>
      </c>
      <c r="E112" s="186" t="s">
        <v>266</v>
      </c>
      <c r="F112" s="194" t="s">
        <v>268</v>
      </c>
      <c r="G112" s="315" t="s">
        <v>395</v>
      </c>
      <c r="H112" s="316" t="s">
        <v>396</v>
      </c>
      <c r="I112" s="316" t="s">
        <v>397</v>
      </c>
      <c r="J112" s="186" t="s">
        <v>129</v>
      </c>
      <c r="K112" s="186" t="s">
        <v>268</v>
      </c>
      <c r="L112" t="s">
        <v>128</v>
      </c>
    </row>
    <row r="113" spans="1:12" ht="15">
      <c r="A113" s="10" t="s">
        <v>130</v>
      </c>
      <c r="B113" s="28">
        <f>1%*K$65*M32</f>
        <v>135218.02843042472</v>
      </c>
      <c r="C113" s="183">
        <f>0.9%*'2005'!K$65*'2005'!M32</f>
        <v>228547.9236265283</v>
      </c>
      <c r="D113" s="187">
        <f>0.81%*'2006'!K$65*'2006'!M32</f>
        <v>356465.42089477304</v>
      </c>
      <c r="E113" s="187">
        <f>SUM(B113:D113)</f>
        <v>720231.372951726</v>
      </c>
      <c r="F113" s="195">
        <f>1%*(0.9)^3</f>
        <v>0.007290000000000001</v>
      </c>
      <c r="G113" s="51">
        <f>ROUNDDOWN(B113,-4)</f>
        <v>130000</v>
      </c>
      <c r="H113" s="197">
        <f>ROUNDDOWN(C113,-4)</f>
        <v>220000</v>
      </c>
      <c r="I113" s="197">
        <f>ROUNDDOWN(D113,-4)</f>
        <v>350000</v>
      </c>
      <c r="J113" s="197">
        <f>ROUNDDOWN(E113,-4)</f>
        <v>720000</v>
      </c>
      <c r="K113" s="233">
        <f>3*(J113/(1%-F113))*F113</f>
        <v>5810479.704797051</v>
      </c>
      <c r="L113" t="s">
        <v>130</v>
      </c>
    </row>
    <row r="114" spans="1:12" ht="15">
      <c r="A114" s="10" t="s">
        <v>131</v>
      </c>
      <c r="B114" s="181">
        <f>1%*K$65*M33</f>
        <v>16340.547242347397</v>
      </c>
      <c r="C114" s="184">
        <f>0.9%*'2005'!K$65*'2005'!M33</f>
        <v>27619.08442616656</v>
      </c>
      <c r="D114" s="184">
        <f>0.81%*'2006'!K$65*'2006'!M33</f>
        <v>43077.39225314478</v>
      </c>
      <c r="E114" s="184">
        <f>SUM(B114:D114)</f>
        <v>87037.02392165874</v>
      </c>
      <c r="F114" s="195">
        <f>1%*(0.9)^3</f>
        <v>0.007290000000000001</v>
      </c>
      <c r="G114" s="53">
        <f>ROUNDDOWN(B114,-3)</f>
        <v>16000</v>
      </c>
      <c r="H114" s="198">
        <f>ROUNDDOWN(C114,-3)</f>
        <v>27000</v>
      </c>
      <c r="I114" s="198">
        <f>ROUNDDOWN(D114,-3)</f>
        <v>43000</v>
      </c>
      <c r="J114" s="198">
        <f>ROUNDDOWN(E114,-3)</f>
        <v>87000</v>
      </c>
      <c r="K114" s="184">
        <f>3*(J114/(1%-F114))*F114</f>
        <v>702099.6309963104</v>
      </c>
      <c r="L114" t="s">
        <v>131</v>
      </c>
    </row>
    <row r="115" spans="1:12" ht="15">
      <c r="A115" s="10" t="s">
        <v>307</v>
      </c>
      <c r="B115" s="181">
        <f>B114*35</f>
        <v>571919.1534821589</v>
      </c>
      <c r="C115" s="184">
        <f>C114*35</f>
        <v>966667.9549158296</v>
      </c>
      <c r="D115" s="184">
        <f>D114*35</f>
        <v>1507708.7288600674</v>
      </c>
      <c r="E115" s="184">
        <f>SUM(B115:D115)</f>
        <v>3046295.837258056</v>
      </c>
      <c r="F115" s="231">
        <f>35%*(0.9)^3</f>
        <v>0.25515000000000004</v>
      </c>
      <c r="G115" s="53">
        <f>ROUNDDOWN(B115,-4)</f>
        <v>570000</v>
      </c>
      <c r="H115" s="198">
        <f>ROUNDDOWN(C115,-4)</f>
        <v>960000</v>
      </c>
      <c r="I115" s="198">
        <f>ROUNDDOWN(D115,-4)</f>
        <v>1500000</v>
      </c>
      <c r="J115" s="198">
        <f>ROUNDDOWN(E115,-5)</f>
        <v>3000000</v>
      </c>
      <c r="K115" s="184">
        <f>3*(J115/(35%-F115))*F115</f>
        <v>24210332.103321057</v>
      </c>
      <c r="L115" t="s">
        <v>307</v>
      </c>
    </row>
    <row r="116" spans="1:12" ht="15">
      <c r="A116" s="10" t="s">
        <v>269</v>
      </c>
      <c r="B116" s="10"/>
      <c r="C116" s="188">
        <f>(C113-B113)/B113</f>
        <v>0.690217837661534</v>
      </c>
      <c r="D116" s="188">
        <f>(D113-C113)/C113</f>
        <v>0.5596966064643649</v>
      </c>
      <c r="E116" s="189"/>
      <c r="F116" s="196"/>
      <c r="H116" s="199">
        <f>C113/$B113</f>
        <v>1.690217837661534</v>
      </c>
      <c r="I116" s="199">
        <f>D113/$B113</f>
        <v>2.6362270255862317</v>
      </c>
      <c r="J116" s="199">
        <f>E113/$B113</f>
        <v>5.326444863247765</v>
      </c>
      <c r="K116" s="234"/>
      <c r="L116" t="s">
        <v>269</v>
      </c>
    </row>
    <row r="117" spans="1:4" ht="15">
      <c r="A117" s="10"/>
      <c r="B117" s="10"/>
      <c r="C117" s="10"/>
      <c r="D117" s="10"/>
    </row>
    <row r="118" spans="1:4" ht="15">
      <c r="A118" s="10"/>
      <c r="B118" s="10"/>
      <c r="C118" s="10"/>
      <c r="D118" s="10"/>
    </row>
  </sheetData>
  <sheetProtection/>
  <printOptions verticalCentered="1"/>
  <pageMargins left="0.5" right="0.5" top="0.5" bottom="0.5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5"/>
  <sheetViews>
    <sheetView zoomScale="75" zoomScaleNormal="75" zoomScalePageLayoutView="0" workbookViewId="0" topLeftCell="A77">
      <selection activeCell="B110" sqref="B110"/>
    </sheetView>
  </sheetViews>
  <sheetFormatPr defaultColWidth="8.88671875" defaultRowHeight="15"/>
  <cols>
    <col min="1" max="1" width="30.77734375" style="77" customWidth="1"/>
    <col min="2" max="3" width="16.77734375" style="77" customWidth="1"/>
    <col min="4" max="4" width="16.77734375" style="18" customWidth="1"/>
    <col min="5" max="5" width="18.3359375" style="18" customWidth="1"/>
    <col min="6" max="11" width="16.77734375" style="18" customWidth="1"/>
    <col min="12" max="12" width="30.77734375" style="12" customWidth="1"/>
    <col min="13" max="13" width="16.77734375" style="209" customWidth="1"/>
    <col min="14" max="14" width="8.77734375" style="156" customWidth="1"/>
    <col min="15" max="15" width="11.10546875" style="0" bestFit="1" customWidth="1"/>
    <col min="16" max="16384" width="8.88671875" style="18" customWidth="1"/>
  </cols>
  <sheetData>
    <row r="1" spans="1:14" s="16" customFormat="1" ht="15.75">
      <c r="A1" s="133" t="s">
        <v>309</v>
      </c>
      <c r="B1" s="81" t="s">
        <v>0</v>
      </c>
      <c r="C1" s="81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M1" s="213"/>
      <c r="N1" s="156"/>
    </row>
    <row r="2" spans="1:13" ht="15">
      <c r="A2" s="75"/>
      <c r="B2" s="82"/>
      <c r="C2" s="82"/>
      <c r="D2" s="10"/>
      <c r="E2" s="10"/>
      <c r="F2" s="10"/>
      <c r="G2" s="10"/>
      <c r="H2" s="10"/>
      <c r="I2" s="10" t="s">
        <v>10</v>
      </c>
      <c r="J2" s="10"/>
      <c r="K2" s="10"/>
      <c r="M2" s="216" t="s">
        <v>11</v>
      </c>
    </row>
    <row r="3" spans="1:14" s="16" customFormat="1" ht="15">
      <c r="A3" s="81" t="s">
        <v>284</v>
      </c>
      <c r="B3" s="83" t="s">
        <v>12</v>
      </c>
      <c r="C3" s="111">
        <v>4</v>
      </c>
      <c r="D3" s="112">
        <v>5</v>
      </c>
      <c r="E3" s="112">
        <v>6</v>
      </c>
      <c r="F3" s="112">
        <v>7</v>
      </c>
      <c r="G3" s="112">
        <v>8</v>
      </c>
      <c r="H3" s="112">
        <v>9</v>
      </c>
      <c r="I3" s="112">
        <v>10</v>
      </c>
      <c r="J3" s="112">
        <v>11</v>
      </c>
      <c r="K3" s="112">
        <v>12</v>
      </c>
      <c r="L3" s="16" t="s">
        <v>380</v>
      </c>
      <c r="M3" s="213"/>
      <c r="N3" s="156"/>
    </row>
    <row r="4" spans="1:13" ht="15">
      <c r="A4" s="81"/>
      <c r="B4" s="20"/>
      <c r="C4" s="10"/>
      <c r="D4" s="10"/>
      <c r="E4" s="10"/>
      <c r="F4" s="10"/>
      <c r="G4" s="10"/>
      <c r="H4" s="10"/>
      <c r="I4" s="10"/>
      <c r="J4" s="10"/>
      <c r="K4" s="10"/>
      <c r="M4" s="216"/>
    </row>
    <row r="5" spans="1:14" s="128" customFormat="1" ht="15.75">
      <c r="A5" s="303" t="s">
        <v>318</v>
      </c>
      <c r="B5" s="127">
        <f>$G80*('2004'!$M15+B15-'2004'!$M18-B13+C15/2)/((B6*1*($I80)*C9*(1-$C86*(1+$E86)^($F86-4)))*($G80-1))</f>
        <v>9.592095101665521</v>
      </c>
      <c r="C5" s="127">
        <f>$G80*((SUM($B15:C15)-B18-C13+D15/2)/((C6*B7*$I80*C9*(1-$C86*(1+$E86)^($F86-7)))*$G80))</f>
        <v>2.9882417978203235</v>
      </c>
      <c r="D5" s="127">
        <f>$G80*((SUM($B15:D15)-C18-D13+E15/2)/((D6*C7*$I80*D9*(1-$C86*(1+$E86)^($F86-8)))*$G80))</f>
        <v>4.2320605567671095</v>
      </c>
      <c r="E5" s="127">
        <f>$G80*((SUM($B15:E15)-D18-E13+F15/2)/((E6*D7*$I80*E9*(1-$C86*(1+$E86)^($F86-9)))*$G80))</f>
        <v>5.199607271446893</v>
      </c>
      <c r="F5" s="127">
        <f>$G80*((SUM($B15:F15)-E18-F13+G15/2)/((F6*E7*$I80*F9*(1-$C86*(1+$E86)^($F86-10)))*$G80))</f>
        <v>6.8399694035844</v>
      </c>
      <c r="G5" s="127">
        <f>$G80*((SUM($B15:G15)-F18-G13+H15/2)/((G6*F7*$I80*G9*(1-$C86*(1+$E86)^($F86-11)))*$G80))</f>
        <v>9.131905232830665</v>
      </c>
      <c r="H5" s="127">
        <f>$G80*((SUM($B15:H15)-G18-H13+I15/2)/((H6*G7*$I80*H9*(1-$C86*(1+$E86)^($F86-12)))*$G80))</f>
        <v>11.571101868490643</v>
      </c>
      <c r="I5" s="127">
        <f>$G80*((SUM($B15:I15)-H18-I13+J15/2)/((I6*H7*$I80*I9*(1-$C86*(1+$E86)^($F86-13)))*$G80))</f>
        <v>11.755741213676817</v>
      </c>
      <c r="J5" s="127">
        <f>$G80*((SUM($B15:J15)-I18-J13+K15/2)/((J6*I7*$I80*J9*(1-$C86*(1+$E86)^($F86-14)))*$G80))</f>
        <v>8.334864014133139</v>
      </c>
      <c r="K5" s="127">
        <f>$G80*((SUM($B15:K15)-J18-K13)/((K6*J7*$I80*K9*(1-$C86*(1+$E86)^($F86-15)))*$G80))</f>
        <v>3.91551445902065</v>
      </c>
      <c r="L5" s="175" t="s">
        <v>211</v>
      </c>
      <c r="M5" s="217"/>
      <c r="N5" s="156"/>
    </row>
    <row r="6" spans="1:14" s="126" customFormat="1" ht="15.75">
      <c r="A6" s="304" t="s">
        <v>319</v>
      </c>
      <c r="B6" s="129">
        <v>2</v>
      </c>
      <c r="C6" s="129">
        <v>2</v>
      </c>
      <c r="D6" s="125">
        <v>2</v>
      </c>
      <c r="E6" s="125">
        <v>2</v>
      </c>
      <c r="F6" s="125">
        <v>2</v>
      </c>
      <c r="G6" s="125">
        <v>2</v>
      </c>
      <c r="H6" s="125">
        <v>2</v>
      </c>
      <c r="I6" s="125">
        <v>2</v>
      </c>
      <c r="J6" s="125">
        <v>2</v>
      </c>
      <c r="K6" s="125">
        <v>2</v>
      </c>
      <c r="L6" s="11" t="s">
        <v>238</v>
      </c>
      <c r="M6" s="218">
        <f>K6</f>
        <v>2</v>
      </c>
      <c r="N6" s="156" t="s">
        <v>253</v>
      </c>
    </row>
    <row r="7" spans="1:14" s="22" customFormat="1" ht="15">
      <c r="A7" s="305" t="s">
        <v>320</v>
      </c>
      <c r="B7" s="72">
        <f>IF(B5&gt;4*$G80,3,IF(B5&gt;3*$G80,2,1))</f>
        <v>1</v>
      </c>
      <c r="C7" s="72">
        <f>IF(C5&gt;3*$G80,IF(B7&gt;=3,B7,B7+1),IF(C8&lt;=20,IF(B7=1,1,IF(C8&lt;20,1,B7-1)),B7))</f>
        <v>1</v>
      </c>
      <c r="D7" s="72">
        <f aca="true" t="shared" si="0" ref="D7:K7">IF(D5&gt;3*$G80,IF(C7&gt;=3,C7,C7+1),IF(D8&lt;=20,IF(C7=1,1,IF(D8&lt;20,1,C7-1)),C7))</f>
        <v>1</v>
      </c>
      <c r="E7" s="72">
        <f>IF(E5&gt;3*$G80,IF(D7&gt;=3,D7,D7+1),IF(E8&lt;=20,IF(D7=1,1,IF(E8&lt;20,1,D7-1)),D7))</f>
        <v>1</v>
      </c>
      <c r="F7" s="72">
        <f t="shared" si="0"/>
        <v>1</v>
      </c>
      <c r="G7" s="72">
        <f t="shared" si="0"/>
        <v>1</v>
      </c>
      <c r="H7" s="72">
        <f t="shared" si="0"/>
        <v>1</v>
      </c>
      <c r="I7" s="72">
        <f t="shared" si="0"/>
        <v>1</v>
      </c>
      <c r="J7" s="72">
        <f t="shared" si="0"/>
        <v>1</v>
      </c>
      <c r="K7" s="72">
        <f t="shared" si="0"/>
        <v>1</v>
      </c>
      <c r="L7" s="23" t="s">
        <v>239</v>
      </c>
      <c r="M7" s="219">
        <f>K7</f>
        <v>1</v>
      </c>
      <c r="N7" s="156" t="s">
        <v>253</v>
      </c>
    </row>
    <row r="8" spans="1:14" s="22" customFormat="1" ht="15">
      <c r="A8" s="305" t="s">
        <v>321</v>
      </c>
      <c r="B8" s="24">
        <f>IF(B5&gt;2*$G80,50,(IF(B5&gt;1.5*$G80,45,IF(B5&gt;$G80,40,IF(B5&gt;0.25*$G80,30,IF(B5&lt;0*$G80,0,20))))))</f>
        <v>50</v>
      </c>
      <c r="C8" s="24">
        <f>IF(C5&gt;3*$G80,50,(IF(C5&gt;2*$G80,45,IF(C5&gt;$G80,40,IF(C5&gt;0.25*$G80,30,IF(C5&lt;-0.2*$G80,0,20))))))</f>
        <v>30</v>
      </c>
      <c r="D8" s="24">
        <f aca="true" t="shared" si="1" ref="D8:K8">IF(D5&gt;3*$G80,50,(IF(D5&gt;2*$G80,45,IF(D5&gt;$G80,40,IF(D5&gt;0.25*$G80,30,IF(D5&lt;-0.2*$G80,0,20))))))</f>
        <v>40</v>
      </c>
      <c r="E8" s="24">
        <f>IF(E5&gt;3*$G80,50,(IF(E5&gt;2*$G80,45,IF(E5&gt;$G80,40,IF(E5&gt;0.25*$G80,30,IF(E5&lt;-0.2*$G80,0,20))))))</f>
        <v>40</v>
      </c>
      <c r="F8" s="24">
        <f t="shared" si="1"/>
        <v>40</v>
      </c>
      <c r="G8" s="24">
        <f t="shared" si="1"/>
        <v>45</v>
      </c>
      <c r="H8" s="24">
        <f t="shared" si="1"/>
        <v>45</v>
      </c>
      <c r="I8" s="24">
        <f t="shared" si="1"/>
        <v>45</v>
      </c>
      <c r="J8" s="24">
        <f t="shared" si="1"/>
        <v>45</v>
      </c>
      <c r="K8" s="24">
        <f t="shared" si="1"/>
        <v>30</v>
      </c>
      <c r="L8" s="23" t="s">
        <v>240</v>
      </c>
      <c r="M8" s="219">
        <f>SUM(B8:K8)/9.5</f>
        <v>43.1578947368421</v>
      </c>
      <c r="N8" s="156" t="s">
        <v>254</v>
      </c>
    </row>
    <row r="9" spans="1:14" s="68" customFormat="1" ht="15">
      <c r="A9" s="306" t="s">
        <v>322</v>
      </c>
      <c r="B9" s="57">
        <f>$C83*(1-$E83)^($F83-4)</f>
        <v>16.577297691089093</v>
      </c>
      <c r="C9" s="57">
        <f>$C83*(1-$E83)^($F83-7)</f>
        <v>17.050659252882014</v>
      </c>
      <c r="D9" s="57">
        <f>$C83*(1-$E83)^($F83-8)</f>
        <v>17.21143132531877</v>
      </c>
      <c r="E9" s="57">
        <f>$C83*(1-$E83)^($F83-9)</f>
        <v>17.37371933088704</v>
      </c>
      <c r="F9" s="57">
        <f>$C83*(1-$E83)^($F83-10)</f>
        <v>17.537537563445362</v>
      </c>
      <c r="G9" s="57">
        <f>$C83*(1-$E83)^($F83-11)</f>
        <v>17.702900451630224</v>
      </c>
      <c r="H9" s="57">
        <f>$C83*(1-$E83)^($F83-12)</f>
        <v>17.869822560126945</v>
      </c>
      <c r="I9" s="57">
        <f>$C83*(1-$E83)^($F83-13)</f>
        <v>18.038318590952446</v>
      </c>
      <c r="J9" s="57">
        <f>$C83*(1-$E83)^($F83-14)</f>
        <v>18.208403384750184</v>
      </c>
      <c r="K9" s="57">
        <f>$C83*(1-$E83)^($F83-14)</f>
        <v>18.208403384750184</v>
      </c>
      <c r="L9" s="67" t="s">
        <v>241</v>
      </c>
      <c r="M9" s="220">
        <f>SUM(B9:K9)/9.5</f>
        <v>18.502999319561294</v>
      </c>
      <c r="N9" s="156" t="s">
        <v>254</v>
      </c>
    </row>
    <row r="10" spans="1:14" s="22" customFormat="1" ht="15">
      <c r="A10" s="305" t="s">
        <v>323</v>
      </c>
      <c r="B10" s="24">
        <f>B6*B7*B8*($G80-1)*(1-$C86*(1+$E86)^($F86-4))</f>
        <v>286.85146307477663</v>
      </c>
      <c r="C10" s="24">
        <f>C6*C7*C8*$G80*(1-$C86*(1+$E86)^($F86-7))</f>
        <v>230.33070094808488</v>
      </c>
      <c r="D10" s="24">
        <f>D6*D7*D8*$G80*(1-$C86*(1+$E86)^($F86-8))</f>
        <v>307.4644636505796</v>
      </c>
      <c r="E10" s="24">
        <f>E6*E7*E8*$G80*(1-$C86*(1+$E86)^($F86-9))</f>
        <v>307.8114480643364</v>
      </c>
      <c r="F10" s="24">
        <f>F6*F7*F8*$G80*(1-$C86*(1+$E86)^($F86-10))</f>
        <v>308.148827928273</v>
      </c>
      <c r="G10" s="24">
        <f>G6*G7*G8*$G80*(1-$C86*(1+$E86)^($F86-11))</f>
        <v>347.03647773403134</v>
      </c>
      <c r="H10" s="24">
        <f>H6*H7*H8*$G80*(1-$C86*(1+$E86)^($F86-12))</f>
        <v>347.39530882416557</v>
      </c>
      <c r="I10" s="24">
        <f>I6*I7*I8*$G80*(1-$C86*(1+$E86)^($F86-13))</f>
        <v>347.7442074477522</v>
      </c>
      <c r="J10" s="24">
        <f>J6*J7*J8*$G80*(1-$C86*(1+$E86)^($F86-14))</f>
        <v>348.0834485360734</v>
      </c>
      <c r="K10" s="24">
        <f>K6*K7*K8*($G80-1)*(1-$C86*(1+$E86)^($F86-15))</f>
        <v>174.2066497051483</v>
      </c>
      <c r="L10" s="23" t="s">
        <v>245</v>
      </c>
      <c r="M10" s="219">
        <f>SUM(B10:K10)/9.5</f>
        <v>316.3234732540233</v>
      </c>
      <c r="N10" s="156" t="s">
        <v>254</v>
      </c>
    </row>
    <row r="11" spans="1:14" ht="15">
      <c r="A11" s="307" t="s">
        <v>324</v>
      </c>
      <c r="B11" s="22">
        <f>B9*B10</f>
        <v>4755.222096515023</v>
      </c>
      <c r="C11" s="22">
        <f>C9*C10</f>
        <v>3927.2902973432633</v>
      </c>
      <c r="D11" s="22">
        <f>D9*D10</f>
        <v>5291.9035010979205</v>
      </c>
      <c r="E11" s="22">
        <f>E9*E10</f>
        <v>5347.829705503694</v>
      </c>
      <c r="F11" s="22">
        <f aca="true" t="shared" si="2" ref="F11:K11">F9*F10</f>
        <v>5404.171644923749</v>
      </c>
      <c r="G11" s="22">
        <f t="shared" si="2"/>
        <v>6143.552218409945</v>
      </c>
      <c r="H11" s="22">
        <f t="shared" si="2"/>
        <v>6207.892526908341</v>
      </c>
      <c r="I11" s="22">
        <f t="shared" si="2"/>
        <v>6272.720802100813</v>
      </c>
      <c r="J11" s="22">
        <f t="shared" si="2"/>
        <v>6338.043842499755</v>
      </c>
      <c r="K11" s="22">
        <f t="shared" si="2"/>
        <v>3172.024950137212</v>
      </c>
      <c r="L11" s="18" t="s">
        <v>246</v>
      </c>
      <c r="M11" s="221">
        <f>SUM(B11:K11)</f>
        <v>52860.651585439715</v>
      </c>
      <c r="N11" s="156" t="s">
        <v>400</v>
      </c>
    </row>
    <row r="12" spans="1:14" ht="15">
      <c r="A12" s="307" t="s">
        <v>325</v>
      </c>
      <c r="B12" s="22">
        <f>B11*(1-(1-($C89*(1+$E89)^($F89-4))))</f>
        <v>167.11976941347012</v>
      </c>
      <c r="C12" s="22">
        <f>C11*(1-(1-($C89*(1+$E89)^($F89-7))))</f>
        <v>114.30664374838287</v>
      </c>
      <c r="D12" s="22">
        <f>D11*(1-(1-($C89*(1+$E89)^($F89-8))))</f>
        <v>144.64303759352651</v>
      </c>
      <c r="E12" s="22">
        <f>E11*(1-(1-($C89*(1+$E89)^($F89-9))))</f>
        <v>137.26832545372486</v>
      </c>
      <c r="F12" s="22">
        <f>F11*(1-(1-($C89*(1+$E89)^($F89-10))))</f>
        <v>130.26539172259186</v>
      </c>
      <c r="G12" s="22">
        <f>G11*(1-(1-($C89*(1+$E89)^($F89-11))))</f>
        <v>139.06781086150036</v>
      </c>
      <c r="H12" s="22">
        <f>H11*(1-(1-($C89*(1+$E89)^($F89-12))))</f>
        <v>131.96489082971843</v>
      </c>
      <c r="I12" s="22">
        <f>I11*(1-(1-($C89*(1+$E89)^($F89-13))))</f>
        <v>125.22104381301028</v>
      </c>
      <c r="J12" s="22">
        <f>J11*(1-(1-($C89*(1+$E89)^($F89-14))))</f>
        <v>118.81841370501954</v>
      </c>
      <c r="K12" s="22">
        <f>K11*(1-(1-($C89*(1+$E89)^($F89-15))))</f>
        <v>55.84345172998769</v>
      </c>
      <c r="L12" s="18" t="s">
        <v>247</v>
      </c>
      <c r="M12" s="221">
        <f>SUM(B10:K10)</f>
        <v>3005.0729959132213</v>
      </c>
      <c r="N12" s="156" t="s">
        <v>400</v>
      </c>
    </row>
    <row r="13" spans="1:14" ht="15">
      <c r="A13" s="308" t="s">
        <v>326</v>
      </c>
      <c r="B13" s="27">
        <f>'2004'!M13</f>
        <v>0</v>
      </c>
      <c r="C13" s="27">
        <f>B14*(100%-B17)</f>
        <v>0</v>
      </c>
      <c r="D13" s="27">
        <f aca="true" t="shared" si="3" ref="D13:K13">C14*(100%-C17)</f>
        <v>2401.0859806964313</v>
      </c>
      <c r="E13" s="27">
        <f t="shared" si="3"/>
        <v>2548.3464442008244</v>
      </c>
      <c r="F13" s="27">
        <f t="shared" si="3"/>
        <v>1758.907824250793</v>
      </c>
      <c r="G13" s="27">
        <f t="shared" si="3"/>
        <v>32.814077451950325</v>
      </c>
      <c r="H13" s="24">
        <f t="shared" si="3"/>
        <v>0</v>
      </c>
      <c r="I13" s="27">
        <f t="shared" si="3"/>
        <v>0</v>
      </c>
      <c r="J13" s="27">
        <f t="shared" si="3"/>
        <v>0</v>
      </c>
      <c r="K13" s="27">
        <f t="shared" si="3"/>
        <v>0</v>
      </c>
      <c r="L13" s="28" t="s">
        <v>242</v>
      </c>
      <c r="M13" s="219">
        <f>K14*(100%-K17)</f>
        <v>0</v>
      </c>
      <c r="N13" s="156" t="s">
        <v>253</v>
      </c>
    </row>
    <row r="14" spans="1:14" ht="15">
      <c r="A14" s="308" t="s">
        <v>327</v>
      </c>
      <c r="B14" s="24">
        <f aca="true" t="shared" si="4" ref="B14:K14">B11-B12+B13</f>
        <v>4588.102327101553</v>
      </c>
      <c r="C14" s="24">
        <f t="shared" si="4"/>
        <v>3812.9836535948803</v>
      </c>
      <c r="D14" s="24">
        <f t="shared" si="4"/>
        <v>7548.346444200824</v>
      </c>
      <c r="E14" s="24">
        <f t="shared" si="4"/>
        <v>7758.907824250793</v>
      </c>
      <c r="F14" s="24">
        <f t="shared" si="4"/>
        <v>7032.814077451951</v>
      </c>
      <c r="G14" s="24">
        <f t="shared" si="4"/>
        <v>6037.298485000396</v>
      </c>
      <c r="H14" s="24">
        <f t="shared" si="4"/>
        <v>6075.9276360786225</v>
      </c>
      <c r="I14" s="24">
        <f t="shared" si="4"/>
        <v>6147.499758287802</v>
      </c>
      <c r="J14" s="24">
        <f t="shared" si="4"/>
        <v>6219.225428794735</v>
      </c>
      <c r="K14" s="24">
        <f t="shared" si="4"/>
        <v>3116.1814984072244</v>
      </c>
      <c r="L14" s="26" t="s">
        <v>243</v>
      </c>
      <c r="M14" s="222">
        <f>M13</f>
        <v>0</v>
      </c>
      <c r="N14" s="156" t="s">
        <v>253</v>
      </c>
    </row>
    <row r="15" spans="1:14" s="115" customFormat="1" ht="15.75">
      <c r="A15" s="309" t="s">
        <v>328</v>
      </c>
      <c r="B15" s="114">
        <v>6000</v>
      </c>
      <c r="C15" s="114">
        <v>0</v>
      </c>
      <c r="D15" s="114">
        <v>5000</v>
      </c>
      <c r="E15" s="114">
        <v>6000</v>
      </c>
      <c r="F15" s="114">
        <v>7000</v>
      </c>
      <c r="G15" s="114">
        <v>8000</v>
      </c>
      <c r="H15" s="114">
        <v>9000</v>
      </c>
      <c r="I15" s="114">
        <v>10000</v>
      </c>
      <c r="J15" s="114">
        <v>3000</v>
      </c>
      <c r="K15" s="114">
        <v>0</v>
      </c>
      <c r="L15" s="113" t="s">
        <v>248</v>
      </c>
      <c r="M15" s="223">
        <f>SUM(B15:K15)</f>
        <v>54000</v>
      </c>
      <c r="N15" s="156" t="s">
        <v>215</v>
      </c>
    </row>
    <row r="16" spans="1:14" s="130" customFormat="1" ht="15">
      <c r="A16" s="307" t="s">
        <v>329</v>
      </c>
      <c r="B16" s="130">
        <f>$G80*(('2004'!$M15+B15-'2004'!$M18-B14)/((B6*B7*$I80*C9*(1-$C86*(1+$E86)^($F86-1)))*$G80))</f>
        <v>3.691177186679874</v>
      </c>
      <c r="C16" s="110">
        <f>$G80*((SUM($B15:C15)-B18-C14)/((C6*C7*$I80*C9*(1-$C86*(1+$E86)^($F86-1)))*$G80))</f>
        <v>-1.8483885162550473</v>
      </c>
      <c r="D16" s="110">
        <f>$G80*((SUM($B15:D15)-C18-D14)/((D6*D7*$I80*D9*(1-$C86*(1+$E86)^($F86-1)))*$G80))</f>
        <v>-1.9434268836672022</v>
      </c>
      <c r="E16" s="110">
        <f>$G80*((SUM($B15:E15)-D18-E14)/((E6*E7*$I80*E9*(1-$C86*(1+$E86)^($F86-1)))*$G80))</f>
        <v>-1.3288531937417893</v>
      </c>
      <c r="F16" s="110">
        <f>$G80*((SUM($B15:F15)-E18-F14)/((F6*F7*$I80*F9*(1-$C86*(1+$E86)^($F86-1)))*$G80))</f>
        <v>-0.024559431501257542</v>
      </c>
      <c r="G16" s="110">
        <f>$G80*((SUM($B15:G15)-F18-G14)/((G6*G7*$I80*G9*(1-$C86*(1+$E86)^($F86-2)))*$G80))</f>
        <v>1.4532325290148205</v>
      </c>
      <c r="H16" s="110">
        <f>$G80*((SUM($B15:H15)-G18-H14)/((H6*H7*$I80*H9*(1-$C86*(1+$E86)^($F86-3)))*$G80))</f>
        <v>3.5796724083983587</v>
      </c>
      <c r="I16" s="110">
        <f>$G80*((SUM($B15:I15)-H18-I14)/((I6*I7*$I80*I9*(1-$C86*(1+$E86)^($F86-4)))*$G80))</f>
        <v>6.333641931284506</v>
      </c>
      <c r="J16" s="110">
        <f>$G80*((SUM($B15:J15)-I18-J14)/((J6*J7*$I80*J9*(1-$C86*(1+$E86)^($F86-5)))*$G80))</f>
        <v>3.9581711104121453</v>
      </c>
      <c r="K16" s="110">
        <f>$G80*((SUM($B15:K15)-J18-K14)/((K6*K7*$I80*K9*(1-$C86*(1+$E86)^($F86-6)))*$G80))</f>
        <v>1.7215806066636048</v>
      </c>
      <c r="L16" s="116" t="s">
        <v>244</v>
      </c>
      <c r="M16" s="224">
        <f>$G80*((SUM($B15:K15)-K18-M13)/((K6*K7*$I80*K9*(1-$C86*(1+$E86)^($F86-15)))*$G80))</f>
        <v>1.7051256753154753</v>
      </c>
      <c r="N16" s="156" t="s">
        <v>253</v>
      </c>
    </row>
    <row r="17" spans="1:14" ht="15">
      <c r="A17" s="307" t="s">
        <v>330</v>
      </c>
      <c r="B17" s="25">
        <f>IF(('2004'!M18+B15)&lt;='2004'!M18,0,(IF(('2004'!M18+B15-'2004'!M18)&gt;B14,100%,('2004'!M18+B15-'2004'!M18)/B14)))</f>
        <v>1</v>
      </c>
      <c r="C17" s="25">
        <f>IF(SUM($B15:C15)&lt;=B18,0,(IF((SUM($B15:C15)-B18)&gt;C14,100%,(SUM($B15:C15)-B18)/C14)))</f>
        <v>0.3702868412685987</v>
      </c>
      <c r="D17" s="25">
        <f>IF(SUM($B15:D15)&lt;=C18,0,(IF((SUM($B15:D15)-C18)&gt;D14,100%,(SUM($B15:D15)-C18)/D14)))</f>
        <v>0.6623967297952196</v>
      </c>
      <c r="E17" s="25">
        <f>IF(SUM($B15:E15)&lt;=D18,0,(IF((SUM($B15:E15)-D18)&gt;E14,100%,(SUM($B15:E15)-D18)/E14)))</f>
        <v>0.7733047145175185</v>
      </c>
      <c r="F17" s="25">
        <f>IF(SUM($B15:F15)&lt;=E18,0,(IF((SUM($B15:F15)-E18)&gt;F14,100%,(SUM($B15:F15)-E18)/F14)))</f>
        <v>0.9953341468876369</v>
      </c>
      <c r="G17" s="25">
        <f>IF(SUM($B15:G15)&lt;=F18,0,(IF((SUM($B15:G15)-F18)&gt;G14,100%,(SUM($B15:G15)-F18)/G14)))</f>
        <v>1</v>
      </c>
      <c r="H17" s="25">
        <f>IF(SUM($B15:H15)&lt;=G18,0,(IF((SUM($B15:H15)-G18)&gt;H14,100%,(SUM($B15:H15)-G18)/H14)))</f>
        <v>1</v>
      </c>
      <c r="I17" s="25">
        <f>IF(SUM($B15:I15)&lt;=H18,0,(IF((SUM($B15:I15)-H18)&gt;I14,100%,(SUM($B15:I15)-H18)/I14)))</f>
        <v>1</v>
      </c>
      <c r="J17" s="25">
        <f>IF(SUM($B15:J15)&lt;=I18,0,(IF((SUM($B15:J15)-I18)&gt;J14,100%,(SUM($B15:J15)-I18)/J14)))</f>
        <v>1</v>
      </c>
      <c r="K17" s="25">
        <f>IF(SUM($B15:K15)&lt;=J18,0,(IF((SUM($B15:K15)-J18)&gt;K14,100%,(SUM($B15:K15)-J18)/K14)))</f>
        <v>1</v>
      </c>
      <c r="L17" s="12" t="s">
        <v>249</v>
      </c>
      <c r="M17" s="225">
        <f>SUM(B17:K17)/9.5</f>
        <v>0.9264549928914709</v>
      </c>
      <c r="N17" s="156" t="s">
        <v>254</v>
      </c>
    </row>
    <row r="18" spans="1:14" s="128" customFormat="1" ht="15.75">
      <c r="A18" s="16"/>
      <c r="B18" s="127">
        <f>'2004'!M18+B14*B17-'2004'!M18</f>
        <v>4588.102327101551</v>
      </c>
      <c r="C18" s="127">
        <f>B18+C14*C17</f>
        <v>6000</v>
      </c>
      <c r="D18" s="127">
        <f aca="true" t="shared" si="5" ref="D18:K18">C18+D14*D17</f>
        <v>11000</v>
      </c>
      <c r="E18" s="127">
        <f t="shared" si="5"/>
        <v>17000</v>
      </c>
      <c r="F18" s="127">
        <f t="shared" si="5"/>
        <v>24000</v>
      </c>
      <c r="G18" s="127">
        <f t="shared" si="5"/>
        <v>30037.298485000396</v>
      </c>
      <c r="H18" s="127">
        <f t="shared" si="5"/>
        <v>36113.22612107902</v>
      </c>
      <c r="I18" s="127">
        <f t="shared" si="5"/>
        <v>42260.725879366815</v>
      </c>
      <c r="J18" s="127">
        <f t="shared" si="5"/>
        <v>48479.95130816155</v>
      </c>
      <c r="K18" s="127">
        <f t="shared" si="5"/>
        <v>51596.13280656878</v>
      </c>
      <c r="L18" s="168" t="s">
        <v>216</v>
      </c>
      <c r="M18" s="263">
        <f>K18</f>
        <v>51596.13280656878</v>
      </c>
      <c r="N18" s="156" t="s">
        <v>400</v>
      </c>
    </row>
    <row r="19" spans="1:13" ht="15.75">
      <c r="A19" s="303" t="s">
        <v>331</v>
      </c>
      <c r="B19" s="10"/>
      <c r="C19" s="10"/>
      <c r="D19" s="10"/>
      <c r="E19" s="10"/>
      <c r="F19" s="27"/>
      <c r="G19" s="10"/>
      <c r="H19" s="10"/>
      <c r="I19" s="10"/>
      <c r="J19" s="10"/>
      <c r="K19" s="10"/>
      <c r="L19" s="7" t="s">
        <v>14</v>
      </c>
      <c r="M19" s="216"/>
    </row>
    <row r="20" spans="1:14" ht="15">
      <c r="A20" s="308" t="s">
        <v>332</v>
      </c>
      <c r="B20" s="85">
        <f>B21/D65</f>
        <v>1946131.621525855</v>
      </c>
      <c r="C20" s="85">
        <f>C21/D65</f>
        <v>582247.8318750401</v>
      </c>
      <c r="D20" s="29">
        <f>D21/D65</f>
        <v>2120845.921450151</v>
      </c>
      <c r="E20" s="29">
        <f>E21/D65</f>
        <v>2545015.105740181</v>
      </c>
      <c r="F20" s="29">
        <f>F21/D65</f>
        <v>2969184.290030211</v>
      </c>
      <c r="G20" s="29">
        <f>G21/D65</f>
        <v>2560835.973698053</v>
      </c>
      <c r="H20" s="29">
        <f>H21/D65</f>
        <v>2577221.269200721</v>
      </c>
      <c r="I20" s="29">
        <f>I21/D65</f>
        <v>2607579.9578960952</v>
      </c>
      <c r="J20" s="29">
        <f>J21/D65</f>
        <v>2638003.777047676</v>
      </c>
      <c r="K20" s="29">
        <f>K21/D65</f>
        <v>1321788.1642790765</v>
      </c>
      <c r="L20" s="4" t="s">
        <v>15</v>
      </c>
      <c r="M20" s="226">
        <f>SUM(B20:K20)</f>
        <v>21868853.912743058</v>
      </c>
      <c r="N20" s="156">
        <f>1</f>
        <v>1</v>
      </c>
    </row>
    <row r="21" spans="1:14" ht="15">
      <c r="A21" s="308" t="s">
        <v>333</v>
      </c>
      <c r="B21" s="72">
        <f>B14*B17*D68*(1-G71)</f>
        <v>16104239.16812645</v>
      </c>
      <c r="C21" s="72">
        <f>C14*C17*E68*(1-G71)</f>
        <v>4818100.808765957</v>
      </c>
      <c r="D21" s="24">
        <f>D14*D17*D68*(1-G71)</f>
        <v>17550000</v>
      </c>
      <c r="E21" s="27">
        <f>E17*E14*D68*(1-G71)</f>
        <v>21060000</v>
      </c>
      <c r="F21" s="27">
        <f>F14*F17*D68*(1-G71)</f>
        <v>24570000</v>
      </c>
      <c r="G21" s="27">
        <f>G14*G17*D68*(1-G71)</f>
        <v>21190917.68235139</v>
      </c>
      <c r="H21" s="27">
        <f>H14*H17*D68*(1-G71)</f>
        <v>21326506.002635967</v>
      </c>
      <c r="I21" s="27">
        <f>I14*I17*D68*(1-G71)</f>
        <v>21577724.151590187</v>
      </c>
      <c r="J21" s="27">
        <f>J14*J17*D68*(1-G71)</f>
        <v>21829481.25506952</v>
      </c>
      <c r="K21" s="27">
        <f>K14*K17*D68*(1-G71)</f>
        <v>10937797.059409358</v>
      </c>
      <c r="L21" s="4" t="s">
        <v>16</v>
      </c>
      <c r="M21" s="222">
        <f>SUM(B21:K21)</f>
        <v>180964766.12794885</v>
      </c>
      <c r="N21" s="156">
        <f>M21/M21</f>
        <v>1</v>
      </c>
    </row>
    <row r="22" spans="1:14" ht="15">
      <c r="A22" s="308" t="s">
        <v>334</v>
      </c>
      <c r="B22" s="72">
        <f>B17*('2004'!K50+(IF(B8&gt;I80,(B6*B7*G80*F80*B80*((1+E80)^4)*B8+H80*(B8-I80)),(B6*B7*G80*F80*B80*((1+E80)^4))*B8)))</f>
        <v>615591.3408036109</v>
      </c>
      <c r="C22" s="72">
        <f>C17*(B50+(IF(C8&gt;I80,(C6*C7*G80*F80*B80*((1+E80)^7))*(C8+H80*(C8-I80)),(C6*C7*G80*F80*B80*((1+E80)^7))*C8)))</f>
        <v>139424.13874889511</v>
      </c>
      <c r="D22" s="24">
        <f>D17*(C50+(IF(D8&gt;I80,(D6*D7*G80*F80*B80*((1+E80)^8))*D8+(H80*(D8-I80)),(D7*G80*F80*B80*((1+E80)^8))*D8)))</f>
        <v>324402.89430951193</v>
      </c>
      <c r="E22" s="27">
        <f>E17*(D50+(IF(E8&gt;I80,(E6*E7*G80*F80*B80*((1+E80)^9))*(E8+(H80*(E8-I80))),(E6*E7*G80*F80*B80*((1+E80)^9))*E8)))</f>
        <v>521098.63679306273</v>
      </c>
      <c r="F22" s="27">
        <f>F17*(E50+(IF(F8&gt;I80,(F6*F7*G80*F80*B80*((1+E80)^10))*(F8+(H80*(F8-I80))),(F6*F7*G80*F80*B80*(1+E80)^10)*F8)))</f>
        <v>661453.0645179548</v>
      </c>
      <c r="G22" s="27">
        <f>G17*(F50+(IF(G8&gt;I80,(G6*G7*G80*F80*B80*((1+E80)^11))*(G8+(H80*(G8-I80))),(G6*G7*G80*F80*B80*((1+E80)^11))*G8)))</f>
        <v>582572.3721781333</v>
      </c>
      <c r="H22" s="27">
        <f>H17*(G50+(IF(H8&gt;I80,(H6*H7*G80*F80*B80*((1+E80)^12)*(H8+(H80*(H8-I80)))),(H6*H7*G80*F80*B80*((1+E80)^12))*H8)))</f>
        <v>583199.9999999999</v>
      </c>
      <c r="I22" s="27">
        <f>I17*(H50+(IF(I8&gt;I80,(I6*I7*G80*F80*B80*((1+E80)^13)*(I8+(H80*(I8-I80)))),(I6*I7*G80*F80*B80*((1+E80)^13)*I8))))</f>
        <v>586952.3263601541</v>
      </c>
      <c r="J22" s="27">
        <f>J17*(I50+(IF(J8&gt;I80,(J6*J7*G80*F80*B80*((1+E80)^14))*(J8+(H80*(J8-I80))),(J6*J7*G80*F80*B80*((1+E80)^14))*J8)))</f>
        <v>590728.7953010917</v>
      </c>
      <c r="K22" s="27">
        <f>K17*(J50+(IF(K8&gt;I80,(K6*1.5*K7*G80*F80*B80*((1+E80)^15))*(K8+(H80*(K8-I80))),(K6*1.5*K7*G80*F80*B80*((1+E80)^15))*K8)))</f>
        <v>594529.5621569051</v>
      </c>
      <c r="L22" s="4" t="s">
        <v>17</v>
      </c>
      <c r="M22" s="222">
        <f>SUM(B22:K22)</f>
        <v>5199953.13116932</v>
      </c>
      <c r="N22" s="156">
        <f>M22/M21</f>
        <v>0.028734616369977563</v>
      </c>
    </row>
    <row r="23" spans="1:14" ht="15">
      <c r="A23" s="308" t="s">
        <v>335</v>
      </c>
      <c r="B23" s="72">
        <f>B17*('2004'!K51+(B92*((1-E92)^4))*(B11-G89*B12)*(1+((1-G89)*(C89*((1+E89)^(F89-4))))))</f>
        <v>8009429.408182731</v>
      </c>
      <c r="C23" s="72">
        <f>C17*(B51+B92*((1-E92)^7)*(C11-G89*C12)*(1+((1-G89)*(C89*((1+E89)^(F89-7))))))</f>
        <v>2406700.017336004</v>
      </c>
      <c r="D23" s="24">
        <f>D17*(C51+B92*((1-E92)^8)*(D11-G89*D12)*(1+((1-G89)*(C89*((1+E89)^(F89-8))))))</f>
        <v>8478839.379855858</v>
      </c>
      <c r="E23" s="110">
        <f>E17*(D51+(B92*(1-E92)^9)*(E11-G89*E12)*(1+((1-G89)*(C89*((1+E89)^(F89-9))))))</f>
        <v>10107326.12371975</v>
      </c>
      <c r="F23" s="27">
        <f>F17*(E51+(B92*((1-E92)^10))*(F11-G89*F12)*(1+(1-G89)*(C89*((1+E89)^(F89-10)))))</f>
        <v>11698734.390411876</v>
      </c>
      <c r="G23" s="27">
        <f>G17*(F51+(B92*((1-E92)^11)*(G11-G89*G12)*(1+((1-G89)*(C89*((1+E89)^(F89-11)))))))</f>
        <v>9991385.639509628</v>
      </c>
      <c r="H23" s="27">
        <f>H17*(G51+(B92*(1-E92)^12)*(H11-G89*H12)*(1+((1-G89)*(C89*((1+E89)^(F89-12))))))</f>
        <v>9983867.500075921</v>
      </c>
      <c r="I23" s="27">
        <f>I17*(H51+(B92*((1-E92)^13)*(I11-G89*I12)*(1+((1-G89)*(C89*((1+E89)^(F89-13)))))))</f>
        <v>10031384.696799515</v>
      </c>
      <c r="J23" s="27">
        <f>J17*(I51+(B92*((1-E92)^14)*(J11-G89*J12)*(1+((1-G89)*C89*((1+E89)^(F89-14))))))</f>
        <v>10079091.055287212</v>
      </c>
      <c r="K23" s="27">
        <f>K17*(J51+(B92*((1-E92)^15)*(K11-G89*K12)*(1+((1-G89)*(C89*((1+E89)^(F89-15)))))))</f>
        <v>5016192.534592643</v>
      </c>
      <c r="L23" s="4" t="s">
        <v>18</v>
      </c>
      <c r="M23" s="222">
        <f>SUM(B23:K23)</f>
        <v>85802950.74577114</v>
      </c>
      <c r="N23" s="156">
        <f>M23/M21</f>
        <v>0.4741417491463794</v>
      </c>
    </row>
    <row r="24" spans="1:14" ht="15">
      <c r="A24" s="307" t="s">
        <v>336</v>
      </c>
      <c r="B24" s="72">
        <f>3*B74*(1+0.25*(B7-1))*(SUM(B22:K22)/12)</f>
        <v>1299988.28279233</v>
      </c>
      <c r="C24" s="72">
        <f>$B74*(1+0.25*(C7-1))*(SUM($B22:$K22)/12)</f>
        <v>433329.42759744334</v>
      </c>
      <c r="D24" s="72">
        <f aca="true" t="shared" si="6" ref="D24:K24">$B74*(1+0.25*(D7-1))*(SUM($B22:$K22)/12)</f>
        <v>433329.42759744334</v>
      </c>
      <c r="E24" s="72">
        <f t="shared" si="6"/>
        <v>433329.42759744334</v>
      </c>
      <c r="F24" s="72">
        <f t="shared" si="6"/>
        <v>433329.42759744334</v>
      </c>
      <c r="G24" s="72">
        <f t="shared" si="6"/>
        <v>433329.42759744334</v>
      </c>
      <c r="H24" s="72">
        <f t="shared" si="6"/>
        <v>433329.42759744334</v>
      </c>
      <c r="I24" s="72">
        <f t="shared" si="6"/>
        <v>433329.42759744334</v>
      </c>
      <c r="J24" s="72">
        <f t="shared" si="6"/>
        <v>433329.42759744334</v>
      </c>
      <c r="K24" s="72">
        <f t="shared" si="6"/>
        <v>433329.42759744334</v>
      </c>
      <c r="L24" s="2" t="s">
        <v>19</v>
      </c>
      <c r="M24" s="219">
        <f>SUM(B24:K24)</f>
        <v>5199953.131169322</v>
      </c>
      <c r="N24" s="156">
        <f>M24/M21</f>
        <v>0.028734616369977574</v>
      </c>
    </row>
    <row r="25" spans="1:14" ht="15">
      <c r="A25" s="307" t="s">
        <v>337</v>
      </c>
      <c r="B25" s="86">
        <f>IF(B21=0,"N/A",(B21-B22-B23-B24)/B21)</f>
        <v>0.3837020843914022</v>
      </c>
      <c r="C25" s="86">
        <f aca="true" t="shared" si="7" ref="C25:K25">IF(C21=0,"N/A",(C21-C22-C23-C24)/C21)</f>
        <v>0.38161244400250327</v>
      </c>
      <c r="D25" s="86">
        <f t="shared" si="7"/>
        <v>0.47369961813317296</v>
      </c>
      <c r="E25" s="86">
        <f t="shared" si="7"/>
        <v>0.4747505133850781</v>
      </c>
      <c r="F25" s="86">
        <f t="shared" si="7"/>
        <v>0.4793033421844821</v>
      </c>
      <c r="G25" s="86">
        <f t="shared" si="7"/>
        <v>0.48056579690022133</v>
      </c>
      <c r="H25" s="86">
        <f t="shared" si="7"/>
        <v>0.4841913191821619</v>
      </c>
      <c r="I25" s="86">
        <f t="shared" si="7"/>
        <v>0.4878205702735035</v>
      </c>
      <c r="J25" s="86">
        <f t="shared" si="7"/>
        <v>0.49136907338981173</v>
      </c>
      <c r="K25" s="86">
        <f t="shared" si="7"/>
        <v>0.44741601151325705</v>
      </c>
      <c r="L25" s="2" t="s">
        <v>20</v>
      </c>
      <c r="M25" s="222">
        <f>(M21-M22-M23-M24)</f>
        <v>84761909.11983907</v>
      </c>
      <c r="N25" s="156">
        <f>IF(M21=0,"N/A    ",(M21-M22-M23-M24)/M21)</f>
        <v>0.4683890181136655</v>
      </c>
    </row>
    <row r="26" spans="1:14" ht="15">
      <c r="A26" s="307" t="s">
        <v>338</v>
      </c>
      <c r="B26" s="72">
        <f>3*C74*(M21/12)</f>
        <v>1809647.6612794884</v>
      </c>
      <c r="C26" s="72">
        <f>C74*(M21/12)/(1-G71)</f>
        <v>618682.9611211927</v>
      </c>
      <c r="D26" s="24">
        <f>C26</f>
        <v>618682.9611211927</v>
      </c>
      <c r="E26" s="27">
        <f>D26</f>
        <v>618682.9611211927</v>
      </c>
      <c r="F26" s="30">
        <f aca="true" t="shared" si="8" ref="F26:K26">E26</f>
        <v>618682.9611211927</v>
      </c>
      <c r="G26" s="30">
        <f t="shared" si="8"/>
        <v>618682.9611211927</v>
      </c>
      <c r="H26" s="30">
        <f>G26</f>
        <v>618682.9611211927</v>
      </c>
      <c r="I26" s="30">
        <f t="shared" si="8"/>
        <v>618682.9611211927</v>
      </c>
      <c r="J26" s="30">
        <f t="shared" si="8"/>
        <v>618682.9611211927</v>
      </c>
      <c r="K26" s="30">
        <f t="shared" si="8"/>
        <v>618682.9611211927</v>
      </c>
      <c r="L26" s="2" t="s">
        <v>21</v>
      </c>
      <c r="M26" s="222">
        <f aca="true" t="shared" si="9" ref="M26:M33">SUM(B26:K26)</f>
        <v>7377794.31137022</v>
      </c>
      <c r="N26" s="156">
        <f>M26/M21</f>
        <v>0.04076923076923076</v>
      </c>
    </row>
    <row r="27" spans="1:14" s="77" customFormat="1" ht="15">
      <c r="A27" s="307" t="s">
        <v>339</v>
      </c>
      <c r="B27" s="72">
        <f>3*D74*(M21/12)+E74*(B21/(1-G71))</f>
        <v>2674988.7860385007</v>
      </c>
      <c r="C27" s="72">
        <f>D74*(M21/12)/(1-G71)+E74*C21</f>
        <v>893806.2216206399</v>
      </c>
      <c r="D27" s="72">
        <f>D74*(M21/12)/(1-G71)+E74*D21</f>
        <v>1212103.701401491</v>
      </c>
      <c r="E27" s="72">
        <f>D74*(M21/12)/(1-G71)+E74*E21</f>
        <v>1299853.701401491</v>
      </c>
      <c r="F27" s="72">
        <f>D74*(M21/12)/(1-G71)+E74*F21</f>
        <v>1387603.701401491</v>
      </c>
      <c r="G27" s="72">
        <f>D74*(M21/12)/(1-G71)+E74*G21</f>
        <v>1303126.6434602756</v>
      </c>
      <c r="H27" s="72">
        <f>D74*(M21/12)/(1-G71)+E74*H21</f>
        <v>1306516.35146739</v>
      </c>
      <c r="I27" s="72">
        <f>D74*(M21/12)/(1-G71)+E74*I21</f>
        <v>1312796.8051912456</v>
      </c>
      <c r="J27" s="72">
        <f>D74*(M21/12)/(1-G71)+E74*J21</f>
        <v>1319090.7327782288</v>
      </c>
      <c r="K27" s="72">
        <f>D74*(M21/12)/(1-G71)+E74*K21</f>
        <v>1046798.6278867249</v>
      </c>
      <c r="L27" s="2" t="s">
        <v>22</v>
      </c>
      <c r="M27" s="222">
        <f t="shared" si="9"/>
        <v>13756685.272647478</v>
      </c>
      <c r="N27" s="156">
        <f>M27/M21</f>
        <v>0.07601858398734364</v>
      </c>
    </row>
    <row r="28" spans="1:14" ht="15">
      <c r="A28" s="307" t="s">
        <v>340</v>
      </c>
      <c r="B28" s="72">
        <f>3*F74*(M21/12)</f>
        <v>1357235.7459596163</v>
      </c>
      <c r="C28" s="76">
        <f>F74*(M21/12)*(1+G71)</f>
        <v>463722.2132028689</v>
      </c>
      <c r="D28" s="27">
        <f aca="true" t="shared" si="10" ref="D28:J28">C28</f>
        <v>463722.2132028689</v>
      </c>
      <c r="E28" s="27">
        <f t="shared" si="10"/>
        <v>463722.2132028689</v>
      </c>
      <c r="F28" s="27">
        <f t="shared" si="10"/>
        <v>463722.2132028689</v>
      </c>
      <c r="G28" s="27">
        <f t="shared" si="10"/>
        <v>463722.2132028689</v>
      </c>
      <c r="H28" s="27">
        <f t="shared" si="10"/>
        <v>463722.2132028689</v>
      </c>
      <c r="I28" s="27">
        <f t="shared" si="10"/>
        <v>463722.2132028689</v>
      </c>
      <c r="J28" s="27">
        <f t="shared" si="10"/>
        <v>463722.2132028689</v>
      </c>
      <c r="K28" s="27">
        <f>J28+G74*G65</f>
        <v>477610.6435512788</v>
      </c>
      <c r="L28" s="2" t="s">
        <v>23</v>
      </c>
      <c r="M28" s="222">
        <f t="shared" si="9"/>
        <v>5544624.095133847</v>
      </c>
      <c r="N28" s="156">
        <f>M28/M21</f>
        <v>0.030639246599051168</v>
      </c>
    </row>
    <row r="29" spans="1:14" ht="15">
      <c r="A29" s="307" t="s">
        <v>341</v>
      </c>
      <c r="B29" s="101">
        <f>G65*'2004'!K55-I65*'2004'!K42</f>
        <v>-41462.320016448815</v>
      </c>
      <c r="C29" s="101">
        <f>G65*B55-I65*B42</f>
        <v>-41633.04800540303</v>
      </c>
      <c r="D29" s="103">
        <f>G65*C55-I65*C42</f>
        <v>-27818.100087121285</v>
      </c>
      <c r="E29" s="27">
        <f>G65*D55-I65*D42</f>
        <v>-18227.744023668787</v>
      </c>
      <c r="F29" s="27">
        <f>G65*E55-I65*E42</f>
        <v>-21336.595590092325</v>
      </c>
      <c r="G29" s="27">
        <f>G65*F55-I65*F42</f>
        <v>-34038.69246555732</v>
      </c>
      <c r="H29" s="27">
        <f>G65*G55-I65*G42</f>
        <v>-48335.28079419765</v>
      </c>
      <c r="I29" s="27">
        <f>G65*H55-I65*H42</f>
        <v>-65780.96259705453</v>
      </c>
      <c r="J29" s="27">
        <f>G65*I55-I65*I42</f>
        <v>-83767.02142055967</v>
      </c>
      <c r="K29" s="27">
        <f>G65*J55-I65*J42</f>
        <v>-101671.42184277852</v>
      </c>
      <c r="L29" s="12" t="s">
        <v>206</v>
      </c>
      <c r="M29" s="222">
        <f t="shared" si="9"/>
        <v>-484071.1868428819</v>
      </c>
      <c r="N29" s="156">
        <f>M29/M21</f>
        <v>-0.0026749471579491087</v>
      </c>
    </row>
    <row r="30" spans="1:14" ht="15">
      <c r="A30" s="307" t="s">
        <v>342</v>
      </c>
      <c r="B30" s="72">
        <f>B6*B77/E77</f>
        <v>222222.22222222222</v>
      </c>
      <c r="C30" s="72">
        <f>C6*B77/E77</f>
        <v>222222.22222222222</v>
      </c>
      <c r="D30" s="24">
        <f>D6*B77/E77</f>
        <v>222222.22222222222</v>
      </c>
      <c r="E30" s="30">
        <f>E6*B77/E77</f>
        <v>222222.22222222222</v>
      </c>
      <c r="F30" s="30">
        <f>F6*B77/E77</f>
        <v>222222.22222222222</v>
      </c>
      <c r="G30" s="30">
        <f>G6*B77/E77</f>
        <v>222222.22222222222</v>
      </c>
      <c r="H30" s="30">
        <f>H6*B77/E77</f>
        <v>222222.22222222222</v>
      </c>
      <c r="I30" s="30">
        <f>I6*B77/E77</f>
        <v>222222.22222222222</v>
      </c>
      <c r="J30" s="30">
        <f>J6*B77/E77</f>
        <v>222222.22222222222</v>
      </c>
      <c r="K30" s="30">
        <f>K6*B77/E77</f>
        <v>222222.22222222222</v>
      </c>
      <c r="L30" s="2" t="s">
        <v>24</v>
      </c>
      <c r="M30" s="222">
        <f t="shared" si="9"/>
        <v>2222222.222222222</v>
      </c>
      <c r="N30" s="156">
        <f>M30/M21</f>
        <v>0.012279861266756358</v>
      </c>
    </row>
    <row r="31" spans="1:14" ht="15">
      <c r="A31" s="307" t="s">
        <v>343</v>
      </c>
      <c r="B31" s="87">
        <f aca="true" t="shared" si="11" ref="B31:K31">IF((B21-B22-B23-B24-B26-B27-B28-B29-B30)&gt;0,(B21-B22-B23-B24-B26-B27-B28-B29-B30)*$E65,0)</f>
        <v>11744.853064830093</v>
      </c>
      <c r="C31" s="87">
        <f t="shared" si="11"/>
        <v>0</v>
      </c>
      <c r="D31" s="87">
        <f t="shared" si="11"/>
        <v>436838.6475282399</v>
      </c>
      <c r="E31" s="87">
        <f t="shared" si="11"/>
        <v>555899.434347423</v>
      </c>
      <c r="F31" s="87">
        <f t="shared" si="11"/>
        <v>682919.1461336282</v>
      </c>
      <c r="G31" s="87">
        <f t="shared" si="11"/>
        <v>570743.617164389</v>
      </c>
      <c r="H31" s="87">
        <f t="shared" si="11"/>
        <v>582247.5455807346</v>
      </c>
      <c r="I31" s="87">
        <f t="shared" si="11"/>
        <v>598081.0846269451</v>
      </c>
      <c r="J31" s="87">
        <f t="shared" si="11"/>
        <v>613978.5651734867</v>
      </c>
      <c r="K31" s="87">
        <f t="shared" si="11"/>
        <v>197257.68765927944</v>
      </c>
      <c r="L31" s="2" t="s">
        <v>25</v>
      </c>
      <c r="M31" s="222">
        <f>SUM(B31:K31)</f>
        <v>4249710.581278956</v>
      </c>
      <c r="N31" s="156">
        <f>M31/M21</f>
        <v>0.023483635362887445</v>
      </c>
    </row>
    <row r="32" spans="1:14" ht="15">
      <c r="A32" s="307" t="s">
        <v>344</v>
      </c>
      <c r="B32" s="76">
        <f aca="true" t="shared" si="12" ref="B32:G32">B21-B22-B23-B24-B26-B27-B28-B29-B30-B31</f>
        <v>144853.18779957114</v>
      </c>
      <c r="C32" s="76">
        <f t="shared" si="12"/>
        <v>-318153.34507790615</v>
      </c>
      <c r="D32" s="30">
        <f t="shared" si="12"/>
        <v>5387676.652848292</v>
      </c>
      <c r="E32" s="30">
        <f t="shared" si="12"/>
        <v>6856093.023618218</v>
      </c>
      <c r="F32" s="30">
        <f t="shared" si="12"/>
        <v>8422669.468981415</v>
      </c>
      <c r="G32" s="30">
        <f t="shared" si="12"/>
        <v>7039171.278360798</v>
      </c>
      <c r="H32" s="30">
        <f>H21-H22-H23-H24-H27-H26-H27-H28-H29-H30-H31</f>
        <v>5874536.710695004</v>
      </c>
      <c r="I32" s="30">
        <f>I21-I22-I23-I24-I26-I27-I28-I29-I30-I31</f>
        <v>7376333.377065657</v>
      </c>
      <c r="J32" s="30">
        <f>J21-J22-J23-J24-J26-J27-J28-J29-J30-J31</f>
        <v>7572402.303806337</v>
      </c>
      <c r="K32" s="30">
        <f>K21-K22-K23-K24-K26-K27-K28-K29-K30-K31</f>
        <v>2432844.8144644466</v>
      </c>
      <c r="L32" s="2" t="s">
        <v>209</v>
      </c>
      <c r="M32" s="222">
        <f>SUM(B32:K32)</f>
        <v>50788427.472561836</v>
      </c>
      <c r="N32" s="156">
        <f>M32/M21</f>
        <v>0.2806536794938995</v>
      </c>
    </row>
    <row r="33" spans="1:14" ht="15">
      <c r="A33" s="307" t="s">
        <v>345</v>
      </c>
      <c r="B33" s="85">
        <f>B32/D65</f>
        <v>17504.916954630953</v>
      </c>
      <c r="C33" s="85">
        <f>C32/D65</f>
        <v>-38447.53414838745</v>
      </c>
      <c r="D33" s="29">
        <f>D32/D65</f>
        <v>651078.7495889175</v>
      </c>
      <c r="E33" s="29">
        <f>E32/D65</f>
        <v>828530.8789870958</v>
      </c>
      <c r="F33" s="29">
        <f>F32/D65</f>
        <v>1017845.2530491136</v>
      </c>
      <c r="G33" s="29">
        <f>G32/D65</f>
        <v>850655.1393789484</v>
      </c>
      <c r="H33" s="29">
        <f>H32/D65</f>
        <v>709913.8018966772</v>
      </c>
      <c r="I33" s="29">
        <f>I32/D65</f>
        <v>891399.8038750038</v>
      </c>
      <c r="J33" s="29">
        <f>J32/D65</f>
        <v>915093.9339947234</v>
      </c>
      <c r="K33" s="29">
        <f>K32/D65</f>
        <v>293999.3733491778</v>
      </c>
      <c r="L33" s="2" t="s">
        <v>27</v>
      </c>
      <c r="M33" s="226">
        <f t="shared" si="9"/>
        <v>6137574.316925901</v>
      </c>
      <c r="N33" s="156">
        <f>M32/M21</f>
        <v>0.2806536794938995</v>
      </c>
    </row>
    <row r="34" spans="1:14" ht="15">
      <c r="A34" s="307" t="s">
        <v>346</v>
      </c>
      <c r="B34" s="86">
        <f>IF(B21=0,"N/A",B32/B21)</f>
        <v>0.008994724077761147</v>
      </c>
      <c r="C34" s="86">
        <f aca="true" t="shared" si="13" ref="C34:K34">IF(C21=0,"N/A",C32/C21)</f>
        <v>-0.06603293656684482</v>
      </c>
      <c r="D34" s="86">
        <f t="shared" si="13"/>
        <v>0.30699012266941833</v>
      </c>
      <c r="E34" s="86">
        <f t="shared" si="13"/>
        <v>0.32555047595528097</v>
      </c>
      <c r="F34" s="86">
        <f t="shared" si="13"/>
        <v>0.3428029901905338</v>
      </c>
      <c r="G34" s="86">
        <f t="shared" si="13"/>
        <v>0.332178690129276</v>
      </c>
      <c r="H34" s="86">
        <f t="shared" si="13"/>
        <v>0.2754570631480332</v>
      </c>
      <c r="I34" s="86">
        <f t="shared" si="13"/>
        <v>0.3418494612890884</v>
      </c>
      <c r="J34" s="86">
        <f t="shared" si="13"/>
        <v>0.34688878839243037</v>
      </c>
      <c r="K34" s="86">
        <f t="shared" si="13"/>
        <v>0.22242548488057434</v>
      </c>
      <c r="L34" s="2" t="s">
        <v>28</v>
      </c>
      <c r="M34" s="225">
        <f>M32/M21</f>
        <v>0.2806536794938995</v>
      </c>
      <c r="N34" s="156">
        <f>M32/M21</f>
        <v>0.2806536794938995</v>
      </c>
    </row>
    <row r="35" spans="1:13" ht="15">
      <c r="A35" s="18"/>
      <c r="B35" s="88"/>
      <c r="C35" s="88"/>
      <c r="D35" s="25"/>
      <c r="E35" s="27"/>
      <c r="F35" s="25"/>
      <c r="G35" s="25"/>
      <c r="H35" s="25"/>
      <c r="I35" s="25"/>
      <c r="J35" s="25"/>
      <c r="K35" s="27"/>
      <c r="M35" s="228"/>
    </row>
    <row r="36" spans="1:14" s="77" customFormat="1" ht="15.75">
      <c r="A36" s="310" t="s">
        <v>347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0" t="s">
        <v>29</v>
      </c>
      <c r="M36" s="222"/>
      <c r="N36" s="156"/>
    </row>
    <row r="37" spans="1:14" ht="15">
      <c r="A37" s="307" t="s">
        <v>348</v>
      </c>
      <c r="B37" s="72">
        <f>(B21*B71)/(1-G71)+('2004'!K21*'2004'!C71+'2004'!J21*'2004'!D71+'2004'!I21*'2004'!E71+'2004'!H21*'2004'!F71+'2004'!K21*'2004'!D71+'2004'!J21*'2004'!E71+'2004'!I21*'2004'!F71+'2004'!K21*'2004'!E71+'2004'!J21*'2004'!F71)/(1-'2004'!G71)</f>
        <v>20259290.513269678</v>
      </c>
      <c r="C37" s="72">
        <f>(C21*B71+B21*C71+'2004'!K21*F71)/(1-G71)</f>
        <v>6162178.539748797</v>
      </c>
      <c r="D37" s="24">
        <f>(D21*B71+C21*C71+B21*D71)/(1-G71)</f>
        <v>9691762.046542034</v>
      </c>
      <c r="E37" s="24">
        <f>(E21*B71+D21*C71+C21*D71+B21*E71)/(1-G71)</f>
        <v>13958832.837102892</v>
      </c>
      <c r="F37" s="24">
        <f>(F21*B71+E21*C71+D21*D71+C21*E71+B21*F71)/(1-G71)</f>
        <v>17996504.16240686</v>
      </c>
      <c r="G37" s="24">
        <f>(G21*B71+F21*C71+E21*D71+D21*E71+C21*F71)/(1-G71)</f>
        <v>19524446.549314886</v>
      </c>
      <c r="H37" s="24">
        <f>(H21*B71+G21*C71+F21*D71+E21*E71+D21*F71)/(1-G71)</f>
        <v>21528856.756165195</v>
      </c>
      <c r="I37" s="24">
        <f>(I21*B71+H21*C71+G21*D71+F21*E71+E21*F71)/(1-G71)</f>
        <v>21930822.54612772</v>
      </c>
      <c r="J37" s="24">
        <f>(J21*B71+I21*C71+H21*D71+G21*E71+F21*F71)/(1-G71)</f>
        <v>21841129.232592393</v>
      </c>
      <c r="K37" s="24">
        <f>(K21*B71+J21*C71+I21*D71+H21*E71+G21*F71)/(1-G71)</f>
        <v>18270780.018308904</v>
      </c>
      <c r="L37" s="36" t="s">
        <v>30</v>
      </c>
      <c r="M37" s="219">
        <f>SUM(B37:K37)</f>
        <v>171164603.20157936</v>
      </c>
      <c r="N37" s="156" t="s">
        <v>400</v>
      </c>
    </row>
    <row r="38" spans="1:14" ht="15">
      <c r="A38" s="307" t="s">
        <v>349</v>
      </c>
      <c r="B38" s="72">
        <v>0</v>
      </c>
      <c r="C38" s="72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36" t="s">
        <v>31</v>
      </c>
      <c r="M38" s="219">
        <f>SUM(B38:K38)</f>
        <v>0</v>
      </c>
      <c r="N38" s="156" t="s">
        <v>400</v>
      </c>
    </row>
    <row r="39" spans="1:14" ht="15">
      <c r="A39" s="307" t="s">
        <v>350</v>
      </c>
      <c r="B39" s="72">
        <f aca="true" t="shared" si="14" ref="B39:K39">B37+B38</f>
        <v>20259290.513269678</v>
      </c>
      <c r="C39" s="72">
        <f t="shared" si="14"/>
        <v>6162178.539748797</v>
      </c>
      <c r="D39" s="24">
        <f t="shared" si="14"/>
        <v>9691762.046542034</v>
      </c>
      <c r="E39" s="24">
        <f t="shared" si="14"/>
        <v>13958832.837102892</v>
      </c>
      <c r="F39" s="24">
        <f t="shared" si="14"/>
        <v>17996504.16240686</v>
      </c>
      <c r="G39" s="24">
        <f t="shared" si="14"/>
        <v>19524446.549314886</v>
      </c>
      <c r="H39" s="24">
        <f t="shared" si="14"/>
        <v>21528856.756165195</v>
      </c>
      <c r="I39" s="24">
        <f t="shared" si="14"/>
        <v>21930822.54612772</v>
      </c>
      <c r="J39" s="24">
        <f t="shared" si="14"/>
        <v>21841129.232592393</v>
      </c>
      <c r="K39" s="24">
        <f t="shared" si="14"/>
        <v>18270780.018308904</v>
      </c>
      <c r="L39" s="36" t="s">
        <v>33</v>
      </c>
      <c r="M39" s="219">
        <f>SUM(B39:K39)</f>
        <v>171164603.20157936</v>
      </c>
      <c r="N39" s="156" t="s">
        <v>400</v>
      </c>
    </row>
    <row r="40" spans="1:14" s="22" customFormat="1" ht="15">
      <c r="A40" s="307" t="s">
        <v>351</v>
      </c>
      <c r="B40" s="72">
        <f>B6*B7*G80*F80*B80*((1+E80)^4)*B8+(B92*((1-E92)^6))*('2004'!K11-G89*'2004'!K12)*(1+((1-G89)*(C89*((1+E89)^(F89-6)))))+B24+B26+B27+B28+B29+(IF(B31-'2004'!K53&gt;0,B31-'2004'!K53,0))+(B49-'2004'!J49)+(B6-'2004'!K6)*B77+G77</f>
        <v>20190065.325144887</v>
      </c>
      <c r="C40" s="72">
        <f>(C6*C7*G80*F80*B80*((1+E80)^7))*(C8+(H80*(C8-I80)))+(B92*((1-E92)^4))*(E11-G89*B12)*(1+((1-G89)*(C89*((1+E89)^(F89-4)))))+C24+C26+C27+C28+C29+(IF(C31-B53&gt;0,C31-B53,0))+(C6-B6)*B77</f>
        <v>11763734.409031302</v>
      </c>
      <c r="D40" s="33">
        <f>(D6*D7*G80*F80*B80*((1+E80)^8))*(D8)+(B92*((1-E92)^7))*(E11-G89*C12)*(1+((1-G89)*(C89*((1+E89)^(F89-7)))))+D24+D26+D27+D28+D29+(IF(D31-C53&gt;0,D31-C53,0))+(C49-B49)+(D6-C6)*B77</f>
        <v>13580369.923568547</v>
      </c>
      <c r="E40" s="33">
        <f>(E6*E7*G80*F80*B80*((1+E80)^9))*(E8+(H80*(E8-I80)))+((B92*((1-E92)^8))*(E11-G89*E12)*(1+((1-G89)*(C89*((1+E89)^(F89-8))))))+E24+E26+E27+E28+E29+B31+(IF(E31-D53&gt;0,E31-D53,0))+(D49-C49)+(E6-D6)*B77</f>
        <v>12698284.781356487</v>
      </c>
      <c r="F40" s="33">
        <f>(F6*F7*G80*F80*B80*((1+E80)^10))*(F8+(H80*(F8-I80)))+((B92*((1-E92)^9))*(E11-G89*E12)*(1+((1-G89)*(C89*((1+E89)^(F89-9))))))+F24+F26+F27+F28+F29+C31+(IF(F31-E53&gt;0,F31-E53,0))+(E49-D49)+(F6-E6)*B77</f>
        <v>12846176.725355946</v>
      </c>
      <c r="G40" s="33">
        <f>(G6*G7*G80*F80*B80*((1+E80)^11))*(G8+(H80*(G8-I80)))+((B92*((1-E92)^10))*(F11-G89*F12)*(1+((1-G89)*(C89*((1+E89)^(F89-10)))))+G24+G26+G27+G28+G29+D31)+(IF(G31-F53&gt;0,G31-F53,0))+(F49-E49)+(G6-F6)*B77</f>
        <v>13727599.63127225</v>
      </c>
      <c r="H40" s="33">
        <f>(H6*H7*G80*F80*B80*((1+E80)^12))*(H8+(H80*(H8-I80)))+((B92*((1-E92)^11))*(G11-G89*G12)*(1+((1-G89)*(C89*((1+E89)^(F89-11)))))+H24+H26+H27+H28+H29+E31)+(IF(H31-G53&gt;0,H31-G53,0))+(G49-F49)+(H6-G6)*B77</f>
        <v>14455144.86999093</v>
      </c>
      <c r="I40" s="33">
        <f>(I6*I7*G80*F80*B80*((1+E80)^13))*(I8+(H80*(I8-I80)))+((B92*((1-E92)^12))*(H11-G89*H12)*(1+((1-G89)*(C89*((1+E89)^(F89-12))))))+I24+I26+I27+I28+I29+F31+(IF(I31-H53&gt;0,I31-H53,0))+(H49-G49)+(I6-H6)*B77</f>
        <v>14638003.639822606</v>
      </c>
      <c r="J40" s="33">
        <f>(J6*J7*G80*F80*B80*((1+E80)^14))*(J8+(H80*(J8-I80)))+((B92*((1-E92)^13))*(I11-G89*I12)*(1+((1-G89)*(C89*((1+E89)^(F89-13))))))+J24+J26+J27+J28+J29+G31+(IF(J31-I53&gt;0,J31-I53,0))+(I49-H49)+(J6-I6)*B77</f>
        <v>14581420.41108145</v>
      </c>
      <c r="K40" s="33">
        <f>(K6*1.5*K7*G80*F80*B80*((1+E80)^15))*(K8+(H80*(K8-I80)))+(J17*((B92*((1-E92)^14))*(J11-G89*J12)*(1+((1-G89)*(C89*((1+E89)^(F89-14))))))+K24+K26+K27+K28+K29+H31+(IF(K31-J53&gt;0,K31-J53,0))+H74*D65)+(J49-I49)+(K6-J6)*B77</f>
        <v>11431104.712278755</v>
      </c>
      <c r="L40" s="70" t="s">
        <v>34</v>
      </c>
      <c r="M40" s="219">
        <f>SUM(B40:K40)</f>
        <v>139911904.42890316</v>
      </c>
      <c r="N40" s="156" t="s">
        <v>400</v>
      </c>
    </row>
    <row r="41" spans="1:14" ht="15">
      <c r="A41" s="307" t="s">
        <v>352</v>
      </c>
      <c r="B41" s="101">
        <f>B39-B40</f>
        <v>69225.18812479079</v>
      </c>
      <c r="C41" s="101">
        <f>C39-C40</f>
        <v>-5601555.869282505</v>
      </c>
      <c r="D41" s="103">
        <f>D39-D40</f>
        <v>-3888607.877026513</v>
      </c>
      <c r="E41" s="103">
        <f>E39-E40</f>
        <v>1260548.0557464045</v>
      </c>
      <c r="F41" s="103">
        <f aca="true" t="shared" si="15" ref="F41:K41">F39-F40</f>
        <v>5150327.437050916</v>
      </c>
      <c r="G41" s="103">
        <f t="shared" si="15"/>
        <v>5796846.918042636</v>
      </c>
      <c r="H41" s="103">
        <f t="shared" si="15"/>
        <v>7073711.886174265</v>
      </c>
      <c r="I41" s="103">
        <f t="shared" si="15"/>
        <v>7292818.906305116</v>
      </c>
      <c r="J41" s="103">
        <f t="shared" si="15"/>
        <v>7259708.821510943</v>
      </c>
      <c r="K41" s="103">
        <f t="shared" si="15"/>
        <v>6839675.306030149</v>
      </c>
      <c r="L41" s="102" t="s">
        <v>35</v>
      </c>
      <c r="M41" s="219">
        <f>SUM(B41:K41)</f>
        <v>31252698.7726762</v>
      </c>
      <c r="N41" s="156" t="s">
        <v>253</v>
      </c>
    </row>
    <row r="42" spans="1:14" ht="15">
      <c r="A42" s="307" t="s">
        <v>353</v>
      </c>
      <c r="B42" s="80">
        <f>'2004'!K42+B41</f>
        <v>16880978.907070067</v>
      </c>
      <c r="C42" s="80">
        <f>B42+C41</f>
        <v>11279423.037787562</v>
      </c>
      <c r="D42" s="35">
        <f>C42+D41</f>
        <v>7390815.160761049</v>
      </c>
      <c r="E42" s="35">
        <f>D42+E41</f>
        <v>8651363.216507453</v>
      </c>
      <c r="F42" s="35">
        <f aca="true" t="shared" si="16" ref="F42:K42">E42+F41</f>
        <v>13801690.65355837</v>
      </c>
      <c r="G42" s="35">
        <f>F42+G41</f>
        <v>19598537.571601003</v>
      </c>
      <c r="H42" s="35">
        <f t="shared" si="16"/>
        <v>26672249.45777527</v>
      </c>
      <c r="I42" s="35">
        <f t="shared" si="16"/>
        <v>33965068.364080384</v>
      </c>
      <c r="J42" s="35">
        <f t="shared" si="16"/>
        <v>41224777.185591325</v>
      </c>
      <c r="K42" s="35">
        <f t="shared" si="16"/>
        <v>48064452.49162147</v>
      </c>
      <c r="L42" s="34" t="s">
        <v>36</v>
      </c>
      <c r="M42" s="219">
        <f>K42</f>
        <v>48064452.49162147</v>
      </c>
      <c r="N42" s="156" t="s">
        <v>253</v>
      </c>
    </row>
    <row r="43" spans="1:14" ht="15">
      <c r="A43" s="307" t="s">
        <v>354</v>
      </c>
      <c r="B43" s="89">
        <f>B42/D65</f>
        <v>2039997.451005446</v>
      </c>
      <c r="C43" s="89">
        <f>C42/D65</f>
        <v>1363072.2704275</v>
      </c>
      <c r="D43" s="38">
        <f>D42/D65</f>
        <v>893149.8683699153</v>
      </c>
      <c r="E43" s="38">
        <f>E42/D65</f>
        <v>1045481.9596987859</v>
      </c>
      <c r="F43" s="38">
        <f>F42/D65</f>
        <v>1667878.0245991987</v>
      </c>
      <c r="G43" s="38">
        <f>G42/D65</f>
        <v>2368403.331915529</v>
      </c>
      <c r="H43" s="38">
        <f>H42/D65</f>
        <v>3223232.562873144</v>
      </c>
      <c r="I43" s="38">
        <f>I42/D65</f>
        <v>4104539.9835746684</v>
      </c>
      <c r="J43" s="38">
        <f>J42/D65</f>
        <v>4981846.1855699485</v>
      </c>
      <c r="K43" s="38">
        <f>K42/D65</f>
        <v>5808393.050347005</v>
      </c>
      <c r="L43" s="37" t="s">
        <v>37</v>
      </c>
      <c r="M43" s="226">
        <f>K43</f>
        <v>5808393.050347005</v>
      </c>
      <c r="N43" s="156" t="s">
        <v>253</v>
      </c>
    </row>
    <row r="44" spans="1:13" ht="15">
      <c r="A44" s="18"/>
      <c r="B44" s="90"/>
      <c r="C44" s="90"/>
      <c r="D44" s="39"/>
      <c r="E44" s="40"/>
      <c r="F44" s="40"/>
      <c r="G44" s="40"/>
      <c r="H44" s="40"/>
      <c r="I44" s="40"/>
      <c r="J44" s="40"/>
      <c r="K44" s="40"/>
      <c r="L44" s="36"/>
      <c r="M44" s="226"/>
    </row>
    <row r="45" spans="1:13" ht="15.75">
      <c r="A45" s="303" t="s">
        <v>355</v>
      </c>
      <c r="B45" s="90"/>
      <c r="C45" s="90"/>
      <c r="D45" s="39"/>
      <c r="E45" s="40"/>
      <c r="F45" s="40"/>
      <c r="G45" s="40"/>
      <c r="H45" s="40"/>
      <c r="I45" s="40"/>
      <c r="J45" s="40"/>
      <c r="K45" s="40"/>
      <c r="L45" s="14" t="s">
        <v>184</v>
      </c>
      <c r="M45" s="226"/>
    </row>
    <row r="46" spans="1:14" ht="15">
      <c r="A46" s="307" t="s">
        <v>353</v>
      </c>
      <c r="B46" s="91">
        <f>B42</f>
        <v>16880978.907070067</v>
      </c>
      <c r="C46" s="91">
        <f aca="true" t="shared" si="17" ref="C46:M46">C42</f>
        <v>11279423.037787562</v>
      </c>
      <c r="D46" s="71">
        <f t="shared" si="17"/>
        <v>7390815.160761049</v>
      </c>
      <c r="E46" s="71">
        <f t="shared" si="17"/>
        <v>8651363.216507453</v>
      </c>
      <c r="F46" s="71">
        <f t="shared" si="17"/>
        <v>13801690.65355837</v>
      </c>
      <c r="G46" s="71">
        <f t="shared" si="17"/>
        <v>19598537.571601003</v>
      </c>
      <c r="H46" s="71">
        <f t="shared" si="17"/>
        <v>26672249.45777527</v>
      </c>
      <c r="I46" s="71">
        <f t="shared" si="17"/>
        <v>33965068.364080384</v>
      </c>
      <c r="J46" s="71">
        <f t="shared" si="17"/>
        <v>41224777.185591325</v>
      </c>
      <c r="K46" s="71">
        <f t="shared" si="17"/>
        <v>48064452.49162147</v>
      </c>
      <c r="L46" s="36" t="s">
        <v>36</v>
      </c>
      <c r="M46" s="219">
        <f t="shared" si="17"/>
        <v>48064452.49162147</v>
      </c>
      <c r="N46" s="156" t="s">
        <v>253</v>
      </c>
    </row>
    <row r="47" spans="1:14" ht="15">
      <c r="A47" s="307" t="s">
        <v>356</v>
      </c>
      <c r="B47" s="89">
        <f>B48/D65</f>
        <v>1429219.17279236</v>
      </c>
      <c r="C47" s="89">
        <f>C48/D65</f>
        <v>2378855.179252537</v>
      </c>
      <c r="D47" s="40">
        <f>D48/D65</f>
        <v>3328491.185712714</v>
      </c>
      <c r="E47" s="40">
        <f>E48/D65</f>
        <v>4186638.2748845704</v>
      </c>
      <c r="F47" s="40">
        <f>F48/D65</f>
        <v>4981018.436527246</v>
      </c>
      <c r="G47" s="40">
        <f>G48/D65</f>
        <v>5182404.676169119</v>
      </c>
      <c r="H47" s="40">
        <f>H48/D65</f>
        <v>5157951.412902748</v>
      </c>
      <c r="I47" s="40">
        <f>I48/D65</f>
        <v>5115280.9120522905</v>
      </c>
      <c r="J47" s="40">
        <f>J48/D65</f>
        <v>5113873.301475509</v>
      </c>
      <c r="K47" s="40">
        <f>K48/D65</f>
        <v>4227712.218829039</v>
      </c>
      <c r="L47" s="34" t="s">
        <v>39</v>
      </c>
      <c r="M47" s="226">
        <f>K47</f>
        <v>4227712.218829039</v>
      </c>
      <c r="N47" s="156" t="s">
        <v>253</v>
      </c>
    </row>
    <row r="48" spans="1:14" ht="15">
      <c r="A48" s="307" t="s">
        <v>348</v>
      </c>
      <c r="B48" s="80">
        <f>'2004'!K48+B21-B37</f>
        <v>11826788.654856779</v>
      </c>
      <c r="C48" s="80">
        <f>B48+D21-D37</f>
        <v>19685026.608314745</v>
      </c>
      <c r="D48" s="35">
        <f aca="true" t="shared" si="18" ref="D48:K48">C48+D21-D37</f>
        <v>27543264.56177271</v>
      </c>
      <c r="E48" s="35">
        <f t="shared" si="18"/>
        <v>34644431.72466982</v>
      </c>
      <c r="F48" s="35">
        <f t="shared" si="18"/>
        <v>41217927.56226296</v>
      </c>
      <c r="G48" s="35">
        <f t="shared" si="18"/>
        <v>42884398.69529946</v>
      </c>
      <c r="H48" s="35">
        <f t="shared" si="18"/>
        <v>42682047.94177024</v>
      </c>
      <c r="I48" s="35">
        <f t="shared" si="18"/>
        <v>42328949.5472327</v>
      </c>
      <c r="J48" s="35">
        <f t="shared" si="18"/>
        <v>42317301.56970984</v>
      </c>
      <c r="K48" s="35">
        <f t="shared" si="18"/>
        <v>34984318.610810295</v>
      </c>
      <c r="L48" s="36" t="s">
        <v>40</v>
      </c>
      <c r="M48" s="219">
        <f>K48</f>
        <v>34984318.610810295</v>
      </c>
      <c r="N48" s="156" t="s">
        <v>253</v>
      </c>
    </row>
    <row r="49" spans="1:14" s="77" customFormat="1" ht="15">
      <c r="A49" s="311" t="s">
        <v>357</v>
      </c>
      <c r="B49" s="80">
        <f>(G92*12/365)*(B92*((1-E92)^7))*(C11-G89*C12)*(1+((1-G89)*(C89*((1+E89)^(F89-7)))))</f>
        <v>3205260.435147332</v>
      </c>
      <c r="C49" s="80">
        <f>(G92*12/365)*(B92*((1-E92)^8)*(D11-G89*D12)*(1+((1-G89)*(C89*((1+E89)^(F89-8))))))</f>
        <v>4294054.135100166</v>
      </c>
      <c r="D49" s="80">
        <f>(G92*12/365)*(B92*((1-E92)^9))*(E11-G89*E12)*(1+((1-G89)*(C89*((1+E89)^(F89-9)))))</f>
        <v>4314525.001812894</v>
      </c>
      <c r="E49" s="80">
        <f>(G92*12/365)*(B92*((1-E92)^10))*(F11-G89*F12)*(1+((1-G89)*(C89*((1+E89)^(F89-10)))))</f>
        <v>4335089.92305327</v>
      </c>
      <c r="F49" s="80">
        <f>(G92*12/365)*(B92*((1-E92)^11))*(G11-G89*G12)*(1+((1-G89)*(C89*((1+E89)^(F89-11)))))</f>
        <v>4900214.064201295</v>
      </c>
      <c r="G49" s="80">
        <f>(G92*12/365)*(B92*(1-E92)^12)*(H11-G89*H12)*(1+((1-G89)*(C89*((1+E89)^(F89-12)))))</f>
        <v>4923551.095927852</v>
      </c>
      <c r="H49" s="80">
        <f>(G92*12/365)*(B92*((1-E92)^13))*(I11-G89*I12)*(1+((1-G89)*(C89*((1+E89)^(F89-13)))))</f>
        <v>4946984.234038116</v>
      </c>
      <c r="I49" s="80">
        <f>(G92*12/365)*(B92*((1-E92)^14))*(J11-G89*J12)*(1+((1-G89)*(C89*((1+E89)^(F89-14)))))</f>
        <v>4970510.657401912</v>
      </c>
      <c r="J49" s="80">
        <f>(G92*12/365)*(B92*((1-E92)^15))*(K11-G89*K12)*(1+((1-G89)*(C89*((1+E89)^(F89-15)))))</f>
        <v>2473738.7841826733</v>
      </c>
      <c r="K49" s="80">
        <f>(G92*12/365)*(K17)*(B92*((1-E92)^15))*(K11-G89*K12)*(1+((1-G89)*(C89*((1+E89)^(F89-15)))))</f>
        <v>2473738.7841826733</v>
      </c>
      <c r="L49" s="79" t="s">
        <v>204</v>
      </c>
      <c r="M49" s="219">
        <f>K49</f>
        <v>2473738.7841826733</v>
      </c>
      <c r="N49" s="156" t="s">
        <v>253</v>
      </c>
    </row>
    <row r="50" spans="1:14" ht="15">
      <c r="A50" s="312" t="s">
        <v>358</v>
      </c>
      <c r="B50" s="72">
        <f>(100%-B17)*('2004'!K50+(IF(B8&gt;I80,(B6*B7*G80*F80*B80*((1+E80)^4)*B8+H80*(B8-I80)),(B6*B7*G80*F80*B80*((1+E80)^4))*B8)))</f>
        <v>0</v>
      </c>
      <c r="C50" s="72">
        <f>(100%-C17)*(B50+(IF(C8&gt;I80,(C6*C7*G80*F80*B80*((1+E80)^7))*(C8+H80*(C8-I80)),(C6*C7*G80*F80*B80*((1+E80)^7))*C8)))</f>
        <v>237105.95416834045</v>
      </c>
      <c r="D50" s="24">
        <f>(100%-D17)*(C50+(IF(D8&gt;I80,(D6*D7*G80*F80*B80*((1+E80)^8))*D8+(H80*(D8-I80)),(D7*G80*F80*B80*((1+E80)^8))*D8)))</f>
        <v>165338.19244042013</v>
      </c>
      <c r="E50" s="24">
        <f>(100%-E17)*(D50+(IF(E8&gt;I80,(E6*E7*G80*F80*B80*((1+E80)^9))*(E8+(H80*(E8-I80))),(E6*E7*G80*F80*B80*((1+E80)^9)*E8))))</f>
        <v>152760.74491029006</v>
      </c>
      <c r="F50" s="24">
        <f>(100%-F17)*(E50+(IF(F8&gt;I80,(F6*F7*G80*F80*B80*((1+E80)^10)*(F8+(H80*(F8-I80)))),(F6*F7*G80*F80*B80*(1+E80)^10)*F8)))</f>
        <v>3100.7102985602946</v>
      </c>
      <c r="G50" s="24">
        <f>(100%-G17)*(F50+(IF(G8&gt;I80,(G6*G7*G80*F80*B80*((1+E80)^11)*(G8+(H80*(G8-I80)))),(G6*G7*G80*F80*B80*((1+E80)^11))*G8)))</f>
        <v>0</v>
      </c>
      <c r="H50" s="24">
        <f>(100%-H17)*((G50)+(IF(H8&gt;I80,((H6*H7*G80*F80*B80*((1+E80)^12)*(H8+(H80*(H8-I80))))),((H6*H7*G80*F80*B80*((1+E80)^12))*H8))))</f>
        <v>0</v>
      </c>
      <c r="I50" s="24">
        <f>(100%-I17)*(H50+(IF(I8&gt;I80,(I6*I7*G80*F80*B80*((1+E80)^13)*(I8+(H80*(I8-I80)))),(I6*I7*G80*F80*B80*((1+E80)^13)*I8))))</f>
        <v>0</v>
      </c>
      <c r="J50" s="24">
        <f>(100%-J17)*(I50+(IF(J8&gt;I80,(J6*J7*G80*F80*B80*((1+E80)^14))*(J8+(H80*(J8-I80))),(J6*J7*G80*F80*B80*((1+E80)^14))*J8)))</f>
        <v>0</v>
      </c>
      <c r="K50" s="24">
        <f>(100%-K17)*(J50+(IF(K8&gt;I80,(K6*1.5*K7*G80*F80*B80*((1+E80)^15)*(K8+(H80*(K8-I80)))),(K6*1.5*K7*G80*F80*B80*((1+E80)^15))*K8)))</f>
        <v>0</v>
      </c>
      <c r="L50" s="26" t="s">
        <v>203</v>
      </c>
      <c r="M50" s="222">
        <f>SUM(B50:K50)</f>
        <v>558305.6018176109</v>
      </c>
      <c r="N50" s="156" t="s">
        <v>253</v>
      </c>
    </row>
    <row r="51" spans="1:14" ht="15">
      <c r="A51" s="312" t="s">
        <v>359</v>
      </c>
      <c r="B51" s="72">
        <f>(100%-B17)*('2004'!K51+(B92*((1-E92)^4))*(B11-G89*B12)*(1+((1-G89)*(C89*((1+E89)^(F89-4))))))</f>
        <v>0</v>
      </c>
      <c r="C51" s="72">
        <f>(100%-C17)*(B51+B92*((1-E92)^7)*(C11-G89*C12)*(1+((1-G89)*(C89*((1+E89)^(F89-7))))))</f>
        <v>4092855.8650460863</v>
      </c>
      <c r="D51" s="24">
        <f>(100%-D17)*(C51+B92*((1-E92)^8)*(D11-G89*D12)*(1+((1-G89)*(C89*((1+E89)^(F89-8))))))</f>
        <v>4321404.03692112</v>
      </c>
      <c r="E51" s="27">
        <f>(100%-E17)*(D51+(B92*((1-E92)^9))*(E11-G89*E12)*(1+((1-G89)*(C89*((1+E89)^(F89-9))))))</f>
        <v>2962975.833544185</v>
      </c>
      <c r="F51" s="27">
        <f>(100%-F17)*(E51+(B92*((1-E92)^10))*(F11-G89*F12)*(1+(1-G89)*(C89*((1+E89)^(F89-10)))))</f>
        <v>54840.45376811002</v>
      </c>
      <c r="G51" s="27">
        <f>(100%-G17)*(F51+(B92*((1-E92)^11)*(G11-G89*G12)*(1+(1-G89)*(C89*((1+E89)^(F89-11))))))</f>
        <v>0</v>
      </c>
      <c r="H51" s="27">
        <f>(100%-H17)*(G51+(B92*(1-E92)^12)*(H11-G89*H12)*(1+((1-G89)*(C89*((1+E89)^(F89-12))))))</f>
        <v>0</v>
      </c>
      <c r="I51" s="27">
        <f>(100%-I17)*(H51+(B92*((1-E92)^13)*(I11-G89*I12)*(1+((1-G89)*(C89*((1+E89)^(F89-13)))))))</f>
        <v>0</v>
      </c>
      <c r="J51" s="27">
        <f>(100%-J17)*(I51+(B92*((1-E92)^14)*(J11-G89*J12)*(1+((1-G89)*C89*((1+E89)^(F89-14))))))</f>
        <v>0</v>
      </c>
      <c r="K51" s="27">
        <f>(100%-K17)*(J51+(B92*((1-E92)^15)*(K11-G89*K12)*(1+((1-G89)*(C89*((1+E89)^(F89-15)))))))</f>
        <v>0</v>
      </c>
      <c r="L51" s="26" t="s">
        <v>210</v>
      </c>
      <c r="M51" s="222">
        <f>SUM(B51:K51)</f>
        <v>11432076.189279502</v>
      </c>
      <c r="N51" s="156" t="s">
        <v>253</v>
      </c>
    </row>
    <row r="52" spans="1:14" s="22" customFormat="1" ht="15">
      <c r="A52" s="312" t="s">
        <v>360</v>
      </c>
      <c r="B52" s="72">
        <f>'2004'!K52+(B6-'2004'!K6)*B77-B30+G77</f>
        <v>9111110.86941927</v>
      </c>
      <c r="C52" s="72">
        <f>B52+(C6-B6)*B77-C30</f>
        <v>8888888.647197047</v>
      </c>
      <c r="D52" s="24">
        <f>C52+(D6-C6)*B77-D30</f>
        <v>8666666.424974825</v>
      </c>
      <c r="E52" s="24">
        <f>D52+(E6-D6)*B77-E30</f>
        <v>8444444.202752603</v>
      </c>
      <c r="F52" s="24">
        <f>E52+(F6-E6)*B77-F30</f>
        <v>8222221.980530381</v>
      </c>
      <c r="G52" s="24">
        <f>F52+(G6-F6)*B77-G30</f>
        <v>7999999.758308159</v>
      </c>
      <c r="H52" s="24">
        <f>G52+(H6-G6)*B77-H30</f>
        <v>7777777.536085937</v>
      </c>
      <c r="I52" s="24">
        <f>H52+(I6-H6)*B77-I30</f>
        <v>7555555.313863715</v>
      </c>
      <c r="J52" s="24">
        <f>I52+(J6-I6)*B77-J30</f>
        <v>7333333.091641493</v>
      </c>
      <c r="K52" s="24">
        <f>J52+(K6-J6)*B77-K30</f>
        <v>7111110.869419271</v>
      </c>
      <c r="L52" s="15" t="s">
        <v>41</v>
      </c>
      <c r="M52" s="219">
        <f>K52</f>
        <v>7111110.869419271</v>
      </c>
      <c r="N52" s="156" t="s">
        <v>253</v>
      </c>
    </row>
    <row r="53" spans="1:14" s="22" customFormat="1" ht="15">
      <c r="A53" s="313" t="s">
        <v>361</v>
      </c>
      <c r="B53" s="72">
        <f>IF('2004'!K53-(B21-B22-B23-B24-B26-B27-B28-B29-B30)*$E65&gt;0,('2004'!K53-(B21-B22-B23-B24-B26-B27-B28-B29-B30)*$E65),0)</f>
        <v>0</v>
      </c>
      <c r="C53" s="72">
        <f>IF(B53-(C21-C22-C23-C24-C26-C27-C28-C29-C30)*$E65&gt;0,(B53-(C21-C22-C23-C24-C26-C27-C28-C29-C30)*$E65),0)</f>
        <v>23861.50088084296</v>
      </c>
      <c r="D53" s="72">
        <f aca="true" t="shared" si="19" ref="D53:K53">IF(C53-(D21-D22-D23-D24-D26-D27-D28-D29-D30)*$E65&gt;0,(C53-(D21-D22-D23-D24-D26-D27-D28-D29-D30)*$E65),0)</f>
        <v>0</v>
      </c>
      <c r="E53" s="72">
        <f t="shared" si="19"/>
        <v>0</v>
      </c>
      <c r="F53" s="72">
        <f t="shared" si="19"/>
        <v>0</v>
      </c>
      <c r="G53" s="72">
        <f t="shared" si="19"/>
        <v>0</v>
      </c>
      <c r="H53" s="72">
        <f t="shared" si="19"/>
        <v>0</v>
      </c>
      <c r="I53" s="72">
        <f t="shared" si="19"/>
        <v>0</v>
      </c>
      <c r="J53" s="72">
        <f t="shared" si="19"/>
        <v>0</v>
      </c>
      <c r="K53" s="72">
        <f t="shared" si="19"/>
        <v>0</v>
      </c>
      <c r="L53" s="15" t="s">
        <v>260</v>
      </c>
      <c r="M53" s="219"/>
      <c r="N53" s="156" t="s">
        <v>253</v>
      </c>
    </row>
    <row r="54" spans="1:15" s="22" customFormat="1" ht="15.75">
      <c r="A54" s="314" t="s">
        <v>362</v>
      </c>
      <c r="B54" s="72">
        <f aca="true" t="shared" si="20" ref="B54:M54">B46+B48+B49+B50+B51+B52</f>
        <v>41024138.86649345</v>
      </c>
      <c r="C54" s="72">
        <f t="shared" si="20"/>
        <v>48477354.247613944</v>
      </c>
      <c r="D54" s="24">
        <f t="shared" si="20"/>
        <v>52402013.378683016</v>
      </c>
      <c r="E54" s="24">
        <f t="shared" si="20"/>
        <v>59191065.645437635</v>
      </c>
      <c r="F54" s="24">
        <f t="shared" si="20"/>
        <v>68199995.42461967</v>
      </c>
      <c r="G54" s="24">
        <f t="shared" si="20"/>
        <v>75406487.12113647</v>
      </c>
      <c r="H54" s="24">
        <f t="shared" si="20"/>
        <v>82079059.16966955</v>
      </c>
      <c r="I54" s="24">
        <f t="shared" si="20"/>
        <v>88820083.88257872</v>
      </c>
      <c r="J54" s="24">
        <f t="shared" si="20"/>
        <v>93349150.63112533</v>
      </c>
      <c r="K54" s="24">
        <f>(K46+K48+K49+K50+K51+K52)</f>
        <v>92633620.75603372</v>
      </c>
      <c r="L54" s="15" t="s">
        <v>185</v>
      </c>
      <c r="M54" s="219">
        <f t="shared" si="20"/>
        <v>104624002.54713082</v>
      </c>
      <c r="N54" s="156" t="s">
        <v>253</v>
      </c>
      <c r="O54"/>
    </row>
    <row r="55" spans="1:15" s="235" customFormat="1" ht="15.75">
      <c r="A55" s="312" t="s">
        <v>363</v>
      </c>
      <c r="B55" s="129">
        <f>0</f>
        <v>0</v>
      </c>
      <c r="C55" s="129">
        <v>0</v>
      </c>
      <c r="D55" s="125">
        <v>0</v>
      </c>
      <c r="E55" s="125">
        <v>0</v>
      </c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f>0</f>
        <v>0</v>
      </c>
      <c r="L55" s="9" t="s">
        <v>42</v>
      </c>
      <c r="M55" s="218">
        <f>K55</f>
        <v>0</v>
      </c>
      <c r="N55" s="179" t="s">
        <v>253</v>
      </c>
      <c r="O55" s="8"/>
    </row>
    <row r="56" spans="1:15" s="77" customFormat="1" ht="15.75">
      <c r="A56" s="312" t="s">
        <v>364</v>
      </c>
      <c r="B56" s="72">
        <f>'2004'!K56+((B92*((1-E92)^4))*(B11-G89*B12)*(1+((1-G89)*(C89*((1+E89)^(F89-4))))))-(B92*((1-E92)^6))*('2004'!K11-G89*'2004'!K12)*(1+((1-G89)*(C89*((1+E89)^(F89-6)))))+((B49-'2004'!K49)-('2004'!K49-'2004'!J49))</f>
        <v>8125582.749462245</v>
      </c>
      <c r="C56" s="72">
        <f>B56+((B92*((1-E92)^7))*(C11-G89*C12)*(1+((1-G89)*(C89*((1+E89)^(F89-7))))))-(B92*((1-E92)^4)*(B11-G89*B12)*(1+((1-G89)*(C89*((1+E89)^(F89-4))))))+((C49-B49)-(B49-'2004'!K49))</f>
        <v>7588349.582334926</v>
      </c>
      <c r="D56" s="72">
        <f>C56+((B92*((1-E92)^8))*(D11-G89*D12)*(1+((1-G89)*(C89*((1+E89)^(F89-8))))))-(B92*((1-E92)^7)*(C11-G89*C12)*(1+((1-G89)*(C89*((1+E89)^(F89-7))))))+((D49-C49)-(C49-B49))</f>
        <v>8727858.418443624</v>
      </c>
      <c r="E56" s="72">
        <f>D56+((B92*((1-E92)^9))*(E11-G89*E12)*(1+((1-G89)*(C89*((1+E89)^(F89-9))))))-(B92*((1-E92)^8)*(D11-G89*D12)*(1+((1-G89)*(C89*((1+E89)^(F89-8))))))+((E49-D49)-(D49-C49))</f>
        <v>8769462.841583192</v>
      </c>
      <c r="F56" s="72">
        <f>E56+((B92*((1-E92)^10))*(F11-G89*F12)*(1+((1-G89)*(C89*((1+E89)^(F89-10))))))-((B92*((1-E92)^9))*(E11-G89*E12)*(1+((1-G89)*(C89*((1+E89)^F89-9)))))+((F49-E49)-(E49-D49))</f>
        <v>9761872.34150119</v>
      </c>
      <c r="G56" s="72">
        <f>F56+((B92*((1-E92)^11))*(G11-G89*G12)*(1+((1-G89)*(C89*((1+E89)^(F89-11))))))-((B92*((1-E92)^10))*(F11-G89*F12)*(1+((1-G89)*(C89*((1+E89)^(F89-10))))))+((G49-F49)-(F49-E49))</f>
        <v>10366031.407185435</v>
      </c>
      <c r="H56" s="72">
        <f>G56+((B92*((1-E92)^12))*(H11-G89*H12)*(1+((1-G89)*(C89*((1+E89)^(F89-12))))))-((B92*((1-E92)^11))*(G11-G89*G12)*(1+((1-G89)*(C89*((1+E89)^(F89-11))))))+((H49-G49)-(G49-F49))</f>
        <v>10413449.827903546</v>
      </c>
      <c r="I56" s="72">
        <f>H56+((B92*((1-E92)^13))*(I11-G89*I12)*(1+((1-G89)*(C89*((1+E89)^(F89-13))))))-((B92*((1-E92)^12))*(H11-G89*H12)*(1+((1-G89)*(C89*((1+E89)^(F89-12))))))+((I49-H49)-(H49-G49))</f>
        <v>10461060.309880674</v>
      </c>
      <c r="J56" s="72">
        <f>I56+((B92*((1-E92)^14))*(J11-G89*J12)*(1+((1-G89)*(C89*((1+E89)^(F89-14))))))-((B92*((1-E92)^13))*(I11-G89*I12)*(1+((1-G89)*(C89*((1+E89)^(F89-13))))))+((J49-I49)-(I49-H49))</f>
        <v>7988468.371785337</v>
      </c>
      <c r="K56" s="72">
        <f>J56+((B92*((1-E92)^15))*(K11-G89*K12)*(1+((1-G89)*(C89*((1+E89)^(F89-15))))))-((B92*((1-E92)^14))*(J11-G89*J12)*(1+((1-G89)*(C89*((1+E89)^(F89-14))))))+((K49-J49)-(J49-I49))</f>
        <v>5422341.724310007</v>
      </c>
      <c r="L56" s="75" t="s">
        <v>43</v>
      </c>
      <c r="M56" s="219">
        <f>K56</f>
        <v>5422341.724310007</v>
      </c>
      <c r="N56" s="156" t="s">
        <v>253</v>
      </c>
      <c r="O56"/>
    </row>
    <row r="57" spans="1:15" ht="15.75">
      <c r="A57" s="312" t="s">
        <v>365</v>
      </c>
      <c r="B57" s="85">
        <f>B56/D65</f>
        <v>981943.5346782169</v>
      </c>
      <c r="C57" s="85">
        <f>C56/D65</f>
        <v>917021.0975631331</v>
      </c>
      <c r="D57" s="29">
        <f>D56/D65</f>
        <v>1054726.0928632778</v>
      </c>
      <c r="E57" s="29">
        <f>E56/D65</f>
        <v>1059753.8177139808</v>
      </c>
      <c r="F57" s="29">
        <f>F56/D65</f>
        <v>1179682.4581874548</v>
      </c>
      <c r="G57" s="29">
        <f>G56/D65</f>
        <v>1252692.61718253</v>
      </c>
      <c r="H57" s="29">
        <f>H56/D65</f>
        <v>1258422.939927921</v>
      </c>
      <c r="I57" s="29">
        <f>I56/D65</f>
        <v>1264176.4724931328</v>
      </c>
      <c r="J57" s="29">
        <f>J56/D65</f>
        <v>965373.8213637869</v>
      </c>
      <c r="K57" s="29">
        <f>K56/D65</f>
        <v>655267.8820918438</v>
      </c>
      <c r="L57" s="12" t="s">
        <v>44</v>
      </c>
      <c r="M57" s="226">
        <f>K57</f>
        <v>655267.8820918438</v>
      </c>
      <c r="N57" s="156" t="s">
        <v>253</v>
      </c>
      <c r="O57" s="73"/>
    </row>
    <row r="58" spans="1:14" ht="15">
      <c r="A58" s="312" t="s">
        <v>366</v>
      </c>
      <c r="B58" s="72">
        <f>B54-B55-B56</f>
        <v>32898556.1170312</v>
      </c>
      <c r="C58" s="72">
        <f aca="true" t="shared" si="21" ref="C58:M58">C54-C55-C56</f>
        <v>40889004.665279016</v>
      </c>
      <c r="D58" s="24">
        <f t="shared" si="21"/>
        <v>43674154.960239395</v>
      </c>
      <c r="E58" s="24">
        <f t="shared" si="21"/>
        <v>50421602.80385444</v>
      </c>
      <c r="F58" s="24">
        <f t="shared" si="21"/>
        <v>58438123.08311848</v>
      </c>
      <c r="G58" s="24">
        <f t="shared" si="21"/>
        <v>65040455.71395104</v>
      </c>
      <c r="H58" s="24">
        <f t="shared" si="21"/>
        <v>71665609.341766</v>
      </c>
      <c r="I58" s="24">
        <f t="shared" si="21"/>
        <v>78359023.57269804</v>
      </c>
      <c r="J58" s="24">
        <f t="shared" si="21"/>
        <v>85360682.25933999</v>
      </c>
      <c r="K58" s="24">
        <f t="shared" si="21"/>
        <v>87211279.03172371</v>
      </c>
      <c r="L58" s="12" t="s">
        <v>45</v>
      </c>
      <c r="M58" s="219">
        <f t="shared" si="21"/>
        <v>99201660.82282081</v>
      </c>
      <c r="N58" s="156" t="s">
        <v>253</v>
      </c>
    </row>
    <row r="59" spans="1:15" s="22" customFormat="1" ht="15.75">
      <c r="A59" s="314" t="s">
        <v>367</v>
      </c>
      <c r="B59" s="72">
        <f>B55+B56+B58</f>
        <v>41024138.86649345</v>
      </c>
      <c r="C59" s="72">
        <f>C55+C56+C58</f>
        <v>48477354.247613944</v>
      </c>
      <c r="D59" s="24">
        <f>D55+D56+D58</f>
        <v>52402013.378683016</v>
      </c>
      <c r="E59" s="24">
        <f>E55+E56+E58</f>
        <v>59191065.645437635</v>
      </c>
      <c r="F59" s="24">
        <f aca="true" t="shared" si="22" ref="F59:M59">F55+F56+F58</f>
        <v>68199995.42461967</v>
      </c>
      <c r="G59" s="24">
        <f t="shared" si="22"/>
        <v>75406487.12113647</v>
      </c>
      <c r="H59" s="24">
        <f t="shared" si="22"/>
        <v>82079059.16966954</v>
      </c>
      <c r="I59" s="24">
        <f t="shared" si="22"/>
        <v>88820083.88257872</v>
      </c>
      <c r="J59" s="24">
        <f t="shared" si="22"/>
        <v>93349150.63112533</v>
      </c>
      <c r="K59" s="24">
        <f t="shared" si="22"/>
        <v>92633620.75603372</v>
      </c>
      <c r="L59" s="15" t="s">
        <v>186</v>
      </c>
      <c r="M59" s="219">
        <f t="shared" si="22"/>
        <v>104624002.54713082</v>
      </c>
      <c r="N59" s="156" t="s">
        <v>253</v>
      </c>
      <c r="O59"/>
    </row>
    <row r="60" spans="1:15" ht="15">
      <c r="A60" s="312" t="s">
        <v>368</v>
      </c>
      <c r="B60" s="85">
        <f>B58/D65</f>
        <v>3975656.328342139</v>
      </c>
      <c r="C60" s="85">
        <f>C58/D65</f>
        <v>4941269.4459551675</v>
      </c>
      <c r="D60" s="29">
        <f>D58/D65</f>
        <v>5277843.499726815</v>
      </c>
      <c r="E60" s="29">
        <f>E58/D65</f>
        <v>6093245.05182531</v>
      </c>
      <c r="F60" s="29">
        <f>F58/D65</f>
        <v>7062008.831796795</v>
      </c>
      <c r="G60" s="29">
        <f>G58/D65</f>
        <v>7859873.802290156</v>
      </c>
      <c r="H60" s="29">
        <f>H58/D65</f>
        <v>8660496.597192265</v>
      </c>
      <c r="I60" s="29">
        <f>I58/D65</f>
        <v>9469368.407576803</v>
      </c>
      <c r="J60" s="29">
        <f>J58/D65</f>
        <v>10315490.303243503</v>
      </c>
      <c r="K60" s="29">
        <f>K58/D65</f>
        <v>10539127.375434889</v>
      </c>
      <c r="L60" s="12" t="s">
        <v>46</v>
      </c>
      <c r="M60" s="226">
        <f>M58/D65</f>
        <v>11988116.111519132</v>
      </c>
      <c r="N60" s="156" t="s">
        <v>253</v>
      </c>
      <c r="O60" s="73"/>
    </row>
    <row r="61" spans="1:15" s="10" customFormat="1" ht="15">
      <c r="A61" s="307" t="s">
        <v>369</v>
      </c>
      <c r="B61" s="92">
        <f>((SUM('2004'!C33:'2004'!K33))+(SUM(B33:B33)))*J65</f>
        <v>49284215.48136165</v>
      </c>
      <c r="C61" s="92">
        <f>((SUM('2004'!D33:'2004'!K33))+(SUM(B33:C33)))*J65</f>
        <v>48707502.469135836</v>
      </c>
      <c r="D61" s="78">
        <f>((SUM('2004'!E33:'2004'!K33))+(SUM(B33:D33)))*J65</f>
        <v>58473683.7129696</v>
      </c>
      <c r="E61" s="78">
        <f>((SUM('2004'!F33:'2004'!K33))+(SUM(B33:E33)))*J65</f>
        <v>72416896.79327318</v>
      </c>
      <c r="F61" s="78">
        <f>((SUM('2004'!G33:'2004'!K33))+(SUM(B33:F33)))*J65</f>
        <v>86394592.16512857</v>
      </c>
      <c r="G61" s="78">
        <f>((SUM('2004'!H33:'2004'!K33))+(SUM(B33:G33)))*J65</f>
        <v>94275115.57963997</v>
      </c>
      <c r="H61" s="78">
        <f>((SUM('2004'!I33:'2004'!K33))+(SUM(B33:H33)))*J65</f>
        <v>93554900.8510461</v>
      </c>
      <c r="I61" s="78">
        <f>((SUM('2004'!J33:'2004'!K33))+(SUM(B33:I33)))*J65</f>
        <v>93300444.77751152</v>
      </c>
      <c r="J61" s="78">
        <f>((SUM('2004'!K33:'2004'!K33))+(SUM(B33:J33)))*J65</f>
        <v>94700589.54850397</v>
      </c>
      <c r="K61" s="29">
        <f>(SUM(B33:K33))*J65</f>
        <v>92063614.75388852</v>
      </c>
      <c r="L61" s="12" t="s">
        <v>47</v>
      </c>
      <c r="M61" s="226">
        <f>(SUM(B33:K33))*J65</f>
        <v>92063614.75388852</v>
      </c>
      <c r="N61" s="164" t="s">
        <v>287</v>
      </c>
      <c r="O61"/>
    </row>
    <row r="62" spans="1:13" ht="15">
      <c r="A62" s="18"/>
      <c r="B62" s="82"/>
      <c r="C62" s="82"/>
      <c r="D62" s="10"/>
      <c r="E62" s="42"/>
      <c r="M62" s="208"/>
    </row>
    <row r="63" spans="1:13" ht="15.75">
      <c r="A63" s="133" t="s">
        <v>265</v>
      </c>
      <c r="B63" s="82"/>
      <c r="C63" s="82"/>
      <c r="D63" s="10"/>
      <c r="E63" s="42"/>
      <c r="M63" s="208"/>
    </row>
    <row r="64" ht="15">
      <c r="O64" s="73"/>
    </row>
    <row r="65" spans="1:13" ht="15">
      <c r="A65" s="82" t="s">
        <v>49</v>
      </c>
      <c r="B65" s="96">
        <f>'2004'!B65</f>
        <v>3980</v>
      </c>
      <c r="C65" s="76">
        <f>'2004'!C65</f>
        <v>3600</v>
      </c>
      <c r="D65" s="44">
        <f>'2004'!D65</f>
        <v>8.275</v>
      </c>
      <c r="E65" s="62">
        <f>'2004'!E65</f>
        <v>0.075</v>
      </c>
      <c r="F65" s="59">
        <f>'2004'!F65</f>
        <v>0.18</v>
      </c>
      <c r="G65" s="60">
        <f>(1+F65)^(1/12)-1</f>
        <v>0.01388843034840992</v>
      </c>
      <c r="H65" s="48">
        <f>'2004'!H65</f>
        <v>0.03</v>
      </c>
      <c r="I65" s="60">
        <f>10^((1/12)*LOG(1+H65))-1</f>
        <v>0.0024662697723036864</v>
      </c>
      <c r="J65" s="66">
        <f>'2004'!J65</f>
        <v>15</v>
      </c>
      <c r="K65" s="59">
        <f>0.5</f>
        <v>0.5</v>
      </c>
      <c r="L65" s="12" t="s">
        <v>49</v>
      </c>
      <c r="M65" s="207">
        <v>0.6</v>
      </c>
    </row>
    <row r="66" spans="1:15" s="73" customFormat="1" ht="15">
      <c r="A66" s="95"/>
      <c r="B66" s="81" t="s">
        <v>50</v>
      </c>
      <c r="C66" s="81" t="s">
        <v>51</v>
      </c>
      <c r="D66" s="73" t="s">
        <v>370</v>
      </c>
      <c r="E66" s="73" t="s">
        <v>371</v>
      </c>
      <c r="F66" s="73" t="s">
        <v>372</v>
      </c>
      <c r="G66" s="16" t="s">
        <v>373</v>
      </c>
      <c r="H66" s="73" t="s">
        <v>374</v>
      </c>
      <c r="I66" s="16" t="s">
        <v>375</v>
      </c>
      <c r="J66" s="73" t="s">
        <v>376</v>
      </c>
      <c r="K66" s="73" t="s">
        <v>377</v>
      </c>
      <c r="M66" s="205" t="s">
        <v>378</v>
      </c>
      <c r="N66" s="156"/>
      <c r="O66"/>
    </row>
    <row r="67" spans="1:15" ht="15">
      <c r="A67" s="82"/>
      <c r="B67" s="82"/>
      <c r="C67" s="82"/>
      <c r="D67" s="10"/>
      <c r="E67" s="10"/>
      <c r="F67" s="10"/>
      <c r="G67" s="10"/>
      <c r="H67" s="10"/>
      <c r="I67" s="10"/>
      <c r="J67" s="10"/>
      <c r="K67" s="10"/>
      <c r="M67" s="206"/>
      <c r="O67" s="73"/>
    </row>
    <row r="68" spans="1:13" ht="15">
      <c r="A68" s="82" t="s">
        <v>58</v>
      </c>
      <c r="B68" s="96">
        <f>'2004'!B68</f>
        <v>3600</v>
      </c>
      <c r="C68" s="76">
        <f>'2004'!C68</f>
        <v>3400</v>
      </c>
      <c r="D68" s="47">
        <f>begin_price</f>
        <v>3600</v>
      </c>
      <c r="E68" s="64">
        <f>3500</f>
        <v>3500</v>
      </c>
      <c r="F68" s="27">
        <f>C68</f>
        <v>3400</v>
      </c>
      <c r="G68" s="10"/>
      <c r="H68" s="10"/>
      <c r="I68" s="10"/>
      <c r="J68" s="10"/>
      <c r="K68" s="10"/>
      <c r="L68" s="12" t="s">
        <v>58</v>
      </c>
      <c r="M68" s="206"/>
    </row>
    <row r="69" spans="1:15" s="73" customFormat="1" ht="15">
      <c r="A69" s="82" t="s">
        <v>59</v>
      </c>
      <c r="B69" s="95" t="s">
        <v>60</v>
      </c>
      <c r="C69" s="95" t="s">
        <v>61</v>
      </c>
      <c r="D69" s="16" t="s">
        <v>381</v>
      </c>
      <c r="E69" s="105" t="s">
        <v>379</v>
      </c>
      <c r="F69" s="16" t="s">
        <v>382</v>
      </c>
      <c r="L69" s="16" t="s">
        <v>59</v>
      </c>
      <c r="M69" s="205"/>
      <c r="N69" s="156"/>
      <c r="O69"/>
    </row>
    <row r="70" spans="1:15" ht="15">
      <c r="A70" s="82"/>
      <c r="B70" s="82"/>
      <c r="C70" s="82"/>
      <c r="D70" s="10"/>
      <c r="E70" s="20"/>
      <c r="F70" s="10"/>
      <c r="G70" s="10"/>
      <c r="H70" s="10"/>
      <c r="I70" s="10"/>
      <c r="J70" s="10"/>
      <c r="K70" s="10"/>
      <c r="M70" s="206"/>
      <c r="O70" s="73"/>
    </row>
    <row r="71" spans="1:13" ht="15.75">
      <c r="A71" s="82" t="s">
        <v>62</v>
      </c>
      <c r="B71" s="267">
        <f>30%</f>
        <v>0.3</v>
      </c>
      <c r="C71" s="267">
        <f>20%</f>
        <v>0.2</v>
      </c>
      <c r="D71" s="121">
        <f>20%</f>
        <v>0.2</v>
      </c>
      <c r="E71" s="122">
        <f>1-B71-C71-D71-F71-G71</f>
        <v>0.17499999999999993</v>
      </c>
      <c r="F71" s="120">
        <v>0.1</v>
      </c>
      <c r="G71" s="120">
        <f>2.5%</f>
        <v>0.025</v>
      </c>
      <c r="H71" s="16" t="s">
        <v>63</v>
      </c>
      <c r="I71" s="16" t="s">
        <v>64</v>
      </c>
      <c r="J71" s="16" t="s">
        <v>63</v>
      </c>
      <c r="K71" s="10"/>
      <c r="L71" s="12" t="s">
        <v>62</v>
      </c>
      <c r="M71" s="206"/>
    </row>
    <row r="72" spans="1:15" s="73" customFormat="1" ht="15">
      <c r="A72" s="81" t="s">
        <v>65</v>
      </c>
      <c r="B72" s="95" t="s">
        <v>66</v>
      </c>
      <c r="C72" s="95" t="s">
        <v>67</v>
      </c>
      <c r="D72" s="73" t="s">
        <v>68</v>
      </c>
      <c r="E72" s="16" t="s">
        <v>69</v>
      </c>
      <c r="F72" s="73" t="s">
        <v>70</v>
      </c>
      <c r="G72" s="73" t="s">
        <v>71</v>
      </c>
      <c r="H72" s="16" t="s">
        <v>72</v>
      </c>
      <c r="I72" s="16" t="s">
        <v>73</v>
      </c>
      <c r="J72" s="16" t="s">
        <v>74</v>
      </c>
      <c r="L72" s="16" t="s">
        <v>65</v>
      </c>
      <c r="M72" s="205"/>
      <c r="N72" s="156"/>
      <c r="O72"/>
    </row>
    <row r="73" spans="1:15" ht="15">
      <c r="A73" s="82"/>
      <c r="B73" s="82"/>
      <c r="C73" s="82"/>
      <c r="D73" s="10"/>
      <c r="E73" s="10"/>
      <c r="F73" s="10"/>
      <c r="G73" s="10"/>
      <c r="H73" s="10"/>
      <c r="I73" s="10"/>
      <c r="J73" s="10"/>
      <c r="K73" s="10"/>
      <c r="M73" s="206"/>
      <c r="O73" s="73"/>
    </row>
    <row r="74" spans="1:13" ht="15">
      <c r="A74" s="82" t="s">
        <v>75</v>
      </c>
      <c r="B74" s="104">
        <f>'2004'!B74</f>
        <v>1</v>
      </c>
      <c r="C74" s="93">
        <f>'2004'!C74</f>
        <v>0.04</v>
      </c>
      <c r="D74" s="62">
        <f>5%</f>
        <v>0.05</v>
      </c>
      <c r="E74" s="62">
        <v>0.025</v>
      </c>
      <c r="F74" s="62">
        <f>3%</f>
        <v>0.03</v>
      </c>
      <c r="G74" s="29">
        <f>'2004'!G74</f>
        <v>1000000</v>
      </c>
      <c r="H74" s="25">
        <f>'2004'!H74</f>
        <v>0.06</v>
      </c>
      <c r="I74" s="10"/>
      <c r="J74" s="10"/>
      <c r="K74" s="10"/>
      <c r="L74" s="12" t="s">
        <v>75</v>
      </c>
      <c r="M74" s="206"/>
    </row>
    <row r="75" spans="1:15" s="73" customFormat="1" ht="15">
      <c r="A75" s="82" t="s">
        <v>59</v>
      </c>
      <c r="B75" s="95" t="s">
        <v>76</v>
      </c>
      <c r="C75" s="95" t="s">
        <v>77</v>
      </c>
      <c r="D75" s="73" t="s">
        <v>200</v>
      </c>
      <c r="E75" s="73" t="s">
        <v>201</v>
      </c>
      <c r="F75" s="73" t="s">
        <v>202</v>
      </c>
      <c r="G75" s="242" t="str">
        <f>'2004'!G75</f>
        <v>investment</v>
      </c>
      <c r="H75" s="242" t="str">
        <f>'2004'!H75</f>
        <v>financing costs</v>
      </c>
      <c r="L75" s="12" t="s">
        <v>59</v>
      </c>
      <c r="M75" s="205"/>
      <c r="N75" s="156"/>
      <c r="O75"/>
    </row>
    <row r="76" spans="1:15" ht="15">
      <c r="A76" s="82"/>
      <c r="B76" s="96"/>
      <c r="C76" s="76"/>
      <c r="D76" s="47"/>
      <c r="E76" s="27"/>
      <c r="F76" s="49"/>
      <c r="G76" s="49"/>
      <c r="H76" s="50"/>
      <c r="I76" s="10"/>
      <c r="J76" s="10"/>
      <c r="K76" s="10"/>
      <c r="L76" s="18"/>
      <c r="M76" s="206"/>
      <c r="O76" s="46"/>
    </row>
    <row r="77" spans="1:13" ht="15">
      <c r="A77" s="82" t="s">
        <v>80</v>
      </c>
      <c r="B77" s="96">
        <f>'2004'!B77</f>
        <v>4000000</v>
      </c>
      <c r="C77" s="85">
        <f>B77/D65</f>
        <v>483383.68580060423</v>
      </c>
      <c r="D77" s="10">
        <f>'2004'!D77</f>
        <v>2</v>
      </c>
      <c r="E77" s="10">
        <f>'2004'!E77</f>
        <v>36</v>
      </c>
      <c r="F77" s="27">
        <f>'2004'!F77</f>
        <v>2000000</v>
      </c>
      <c r="G77" s="63">
        <v>2000000</v>
      </c>
      <c r="H77" s="47">
        <f>'2004'!G77</f>
        <v>2000000</v>
      </c>
      <c r="I77" s="10"/>
      <c r="J77" s="10"/>
      <c r="K77" s="10"/>
      <c r="L77" s="12" t="s">
        <v>80</v>
      </c>
      <c r="M77" s="206"/>
    </row>
    <row r="78" spans="1:15" s="73" customFormat="1" ht="15">
      <c r="A78" s="95"/>
      <c r="B78" s="95" t="s">
        <v>81</v>
      </c>
      <c r="C78" s="81" t="s">
        <v>82</v>
      </c>
      <c r="D78" s="73" t="s">
        <v>83</v>
      </c>
      <c r="E78" s="44" t="s">
        <v>85</v>
      </c>
      <c r="F78" s="73" t="s">
        <v>86</v>
      </c>
      <c r="G78" s="73" t="s">
        <v>401</v>
      </c>
      <c r="H78" s="73" t="s">
        <v>402</v>
      </c>
      <c r="M78" s="205"/>
      <c r="N78" s="156"/>
      <c r="O78"/>
    </row>
    <row r="79" spans="1:13" ht="15">
      <c r="A79" s="82"/>
      <c r="B79" s="82"/>
      <c r="C79" s="82"/>
      <c r="D79" s="10"/>
      <c r="E79" s="10"/>
      <c r="F79" s="10"/>
      <c r="G79" s="10"/>
      <c r="H79" s="10"/>
      <c r="I79" s="10"/>
      <c r="J79" s="10"/>
      <c r="K79" s="10"/>
      <c r="M79" s="206"/>
    </row>
    <row r="80" spans="1:13" ht="15">
      <c r="A80" s="82" t="s">
        <v>87</v>
      </c>
      <c r="B80" s="106">
        <f>'2004'!B80</f>
        <v>20</v>
      </c>
      <c r="C80" s="106">
        <f>B80*((1+E80)^32)</f>
        <v>24.556134886930696</v>
      </c>
      <c r="D80" s="25">
        <f>'2004'!D80</f>
        <v>0.08</v>
      </c>
      <c r="E80" s="60">
        <f>((1+D80)^(1/12))-1</f>
        <v>0.00643403011000343</v>
      </c>
      <c r="F80" s="24">
        <f>'2004'!F80</f>
        <v>75</v>
      </c>
      <c r="G80" s="108">
        <f>'2004'!G80</f>
        <v>4</v>
      </c>
      <c r="H80" s="25">
        <f>'2004'!H80</f>
        <v>0</v>
      </c>
      <c r="I80" s="24">
        <f>'2004'!I80</f>
        <v>40</v>
      </c>
      <c r="J80" s="10"/>
      <c r="K80" s="10"/>
      <c r="L80" s="18" t="s">
        <v>87</v>
      </c>
      <c r="M80" s="210"/>
    </row>
    <row r="81" spans="1:15" s="73" customFormat="1" ht="15">
      <c r="A81" s="95"/>
      <c r="B81" s="95" t="s">
        <v>88</v>
      </c>
      <c r="C81" s="81" t="s">
        <v>89</v>
      </c>
      <c r="D81" s="73" t="s">
        <v>90</v>
      </c>
      <c r="E81" s="16" t="s">
        <v>91</v>
      </c>
      <c r="F81" s="73" t="s">
        <v>92</v>
      </c>
      <c r="G81" s="73" t="s">
        <v>93</v>
      </c>
      <c r="H81" s="73" t="s">
        <v>94</v>
      </c>
      <c r="I81" s="107" t="s">
        <v>289</v>
      </c>
      <c r="M81" s="205"/>
      <c r="N81" s="156"/>
      <c r="O81"/>
    </row>
    <row r="82" spans="1:13" ht="15">
      <c r="A82" s="82"/>
      <c r="B82" s="82"/>
      <c r="C82" s="82"/>
      <c r="D82" s="10"/>
      <c r="E82" s="10"/>
      <c r="F82" s="10"/>
      <c r="G82" s="10"/>
      <c r="H82" s="10"/>
      <c r="I82" s="10"/>
      <c r="J82" s="10"/>
      <c r="K82" s="10"/>
      <c r="M82" s="206"/>
    </row>
    <row r="83" spans="1:13" ht="15">
      <c r="A83" s="82" t="s">
        <v>95</v>
      </c>
      <c r="B83" s="82">
        <f>'2004'!B83</f>
        <v>16</v>
      </c>
      <c r="C83" s="82">
        <f>'2004'!C83</f>
        <v>20</v>
      </c>
      <c r="D83" s="25">
        <f>-1+(1+E83)^12</f>
        <v>0.1180339887498969</v>
      </c>
      <c r="E83" s="25">
        <f>10^((1/F83)*LOG(C83/B83))-1</f>
        <v>0.009341005370091082</v>
      </c>
      <c r="F83" s="24">
        <f>'2004'!F83</f>
        <v>24</v>
      </c>
      <c r="G83" s="10"/>
      <c r="H83" s="10"/>
      <c r="I83" s="10"/>
      <c r="J83" s="10"/>
      <c r="K83" s="10"/>
      <c r="L83" s="12" t="s">
        <v>95</v>
      </c>
      <c r="M83" s="206"/>
    </row>
    <row r="84" spans="1:15" s="46" customFormat="1" ht="15">
      <c r="A84" s="82" t="s">
        <v>96</v>
      </c>
      <c r="B84" s="239" t="s">
        <v>97</v>
      </c>
      <c r="C84" s="239" t="s">
        <v>98</v>
      </c>
      <c r="D84" s="10" t="s">
        <v>99</v>
      </c>
      <c r="E84" s="10" t="s">
        <v>100</v>
      </c>
      <c r="F84" s="44" t="s">
        <v>208</v>
      </c>
      <c r="G84" s="44"/>
      <c r="H84" s="44"/>
      <c r="I84" s="44"/>
      <c r="J84" s="44"/>
      <c r="K84" s="44"/>
      <c r="L84" s="12" t="s">
        <v>96</v>
      </c>
      <c r="M84" s="206"/>
      <c r="N84" s="156"/>
      <c r="O84"/>
    </row>
    <row r="85" spans="1:13" ht="15">
      <c r="A85" s="82"/>
      <c r="B85" s="82"/>
      <c r="C85" s="82"/>
      <c r="D85" s="10"/>
      <c r="E85" s="10"/>
      <c r="F85" s="10"/>
      <c r="G85" s="10"/>
      <c r="H85" s="10"/>
      <c r="I85" s="10"/>
      <c r="J85" s="10"/>
      <c r="K85" s="10"/>
      <c r="M85" s="206"/>
    </row>
    <row r="86" spans="1:13" ht="15">
      <c r="A86" s="82" t="s">
        <v>101</v>
      </c>
      <c r="B86" s="109">
        <f>'2004'!B86</f>
        <v>0.05</v>
      </c>
      <c r="C86" s="109">
        <f>'2004'!C86</f>
        <v>0.025</v>
      </c>
      <c r="D86" s="25">
        <f>-1+(1+E86)^12</f>
        <v>0.400521241759376</v>
      </c>
      <c r="E86" s="25">
        <f>1-10^(-(1/F86)*LOG(B86/C86))</f>
        <v>0.02846805884639414</v>
      </c>
      <c r="F86" s="24">
        <f>'2004'!F86</f>
        <v>24</v>
      </c>
      <c r="G86" s="10"/>
      <c r="H86" s="10"/>
      <c r="I86" s="10"/>
      <c r="J86" s="10"/>
      <c r="K86" s="10"/>
      <c r="L86" s="12" t="s">
        <v>101</v>
      </c>
      <c r="M86" s="206"/>
    </row>
    <row r="87" spans="1:13" ht="15">
      <c r="A87" s="82" t="s">
        <v>102</v>
      </c>
      <c r="B87" s="239" t="s">
        <v>103</v>
      </c>
      <c r="C87" s="239" t="s">
        <v>104</v>
      </c>
      <c r="D87" s="10" t="s">
        <v>105</v>
      </c>
      <c r="E87" s="10" t="s">
        <v>106</v>
      </c>
      <c r="F87" s="44" t="s">
        <v>208</v>
      </c>
      <c r="G87" s="10"/>
      <c r="H87" s="10"/>
      <c r="I87" s="10"/>
      <c r="J87" s="10"/>
      <c r="K87" s="10"/>
      <c r="L87" s="12" t="s">
        <v>102</v>
      </c>
      <c r="M87" s="206"/>
    </row>
    <row r="88" spans="1:13" ht="15">
      <c r="A88" s="82"/>
      <c r="B88" s="82"/>
      <c r="C88" s="82"/>
      <c r="D88" s="10"/>
      <c r="E88" s="10"/>
      <c r="F88" s="10"/>
      <c r="G88" s="10"/>
      <c r="H88" s="10"/>
      <c r="I88" s="10"/>
      <c r="J88" s="10"/>
      <c r="K88" s="10"/>
      <c r="M88" s="206"/>
    </row>
    <row r="89" spans="1:13" ht="15">
      <c r="A89" s="82" t="s">
        <v>107</v>
      </c>
      <c r="B89" s="109">
        <f>'2004'!B89</f>
        <v>0.05</v>
      </c>
      <c r="C89" s="109">
        <f>'2004'!C89</f>
        <v>0.01</v>
      </c>
      <c r="D89" s="50">
        <f>-1+(1+E89)^12</f>
        <v>1.1257599138147394</v>
      </c>
      <c r="E89" s="50">
        <f>1-10^(-(1/F89)*LOG(B89/C89))</f>
        <v>0.06486082735179577</v>
      </c>
      <c r="F89" s="24">
        <f>'2004'!F89</f>
        <v>24</v>
      </c>
      <c r="G89" s="49">
        <f>'2004'!G89</f>
        <v>0.33</v>
      </c>
      <c r="H89" s="32"/>
      <c r="I89" s="10"/>
      <c r="J89" s="10"/>
      <c r="K89" s="10"/>
      <c r="L89" s="12" t="s">
        <v>107</v>
      </c>
      <c r="M89" s="206"/>
    </row>
    <row r="90" spans="1:13" ht="15">
      <c r="A90" s="82" t="s">
        <v>108</v>
      </c>
      <c r="B90" s="239" t="s">
        <v>109</v>
      </c>
      <c r="C90" s="239" t="s">
        <v>110</v>
      </c>
      <c r="D90" s="10" t="s">
        <v>111</v>
      </c>
      <c r="E90" s="10" t="s">
        <v>112</v>
      </c>
      <c r="F90" s="44" t="s">
        <v>208</v>
      </c>
      <c r="G90" s="44" t="s">
        <v>84</v>
      </c>
      <c r="H90" s="12"/>
      <c r="I90" s="10"/>
      <c r="J90" s="10"/>
      <c r="K90" s="10"/>
      <c r="L90" s="12" t="s">
        <v>108</v>
      </c>
      <c r="M90" s="206"/>
    </row>
    <row r="91" spans="1:13" ht="15">
      <c r="A91" s="82"/>
      <c r="B91" s="82"/>
      <c r="C91" s="82"/>
      <c r="D91" s="10"/>
      <c r="E91" s="10"/>
      <c r="F91" s="10"/>
      <c r="G91" s="10"/>
      <c r="H91" s="12"/>
      <c r="I91" s="10"/>
      <c r="J91" s="10"/>
      <c r="K91" s="10"/>
      <c r="M91" s="206"/>
    </row>
    <row r="92" spans="1:13" ht="15">
      <c r="A92" s="82" t="s">
        <v>113</v>
      </c>
      <c r="B92" s="96">
        <f>'2004'!B92</f>
        <v>1700</v>
      </c>
      <c r="C92" s="97">
        <f>'2004'!C92</f>
        <v>1500</v>
      </c>
      <c r="D92" s="50">
        <f>-1+(1+E92)^12</f>
        <v>0.06423570420608771</v>
      </c>
      <c r="E92" s="25">
        <f>1-10^(-(1/F92)*LOG(B92/C92))</f>
        <v>0.0052015557700146875</v>
      </c>
      <c r="F92" s="24">
        <f>'2004'!F92</f>
        <v>24</v>
      </c>
      <c r="G92" s="24">
        <f>'2004'!G92</f>
        <v>15</v>
      </c>
      <c r="H92" s="12"/>
      <c r="I92" s="10"/>
      <c r="J92" s="10"/>
      <c r="K92" s="10"/>
      <c r="L92" s="12" t="s">
        <v>113</v>
      </c>
      <c r="M92" s="206"/>
    </row>
    <row r="93" spans="1:13" ht="15">
      <c r="A93" s="82" t="s">
        <v>114</v>
      </c>
      <c r="B93" s="239" t="s">
        <v>115</v>
      </c>
      <c r="C93" s="239" t="s">
        <v>116</v>
      </c>
      <c r="D93" s="10" t="s">
        <v>117</v>
      </c>
      <c r="E93" s="10" t="s">
        <v>118</v>
      </c>
      <c r="F93" s="44" t="s">
        <v>208</v>
      </c>
      <c r="G93" s="44" t="s">
        <v>196</v>
      </c>
      <c r="H93" s="12"/>
      <c r="I93" s="10"/>
      <c r="J93" s="10"/>
      <c r="K93" s="10"/>
      <c r="L93" s="12" t="s">
        <v>114</v>
      </c>
      <c r="M93" s="206"/>
    </row>
    <row r="94" spans="1:13" ht="15">
      <c r="A94" s="82"/>
      <c r="B94" s="82"/>
      <c r="C94" s="82"/>
      <c r="D94" s="10"/>
      <c r="E94" s="10"/>
      <c r="F94" s="10"/>
      <c r="G94" s="10"/>
      <c r="H94" s="10"/>
      <c r="I94" s="10"/>
      <c r="J94" s="10"/>
      <c r="K94" s="12"/>
      <c r="M94" s="206"/>
    </row>
    <row r="95" spans="2:4" ht="15">
      <c r="B95" s="82"/>
      <c r="C95" s="82"/>
      <c r="D95" s="10"/>
    </row>
    <row r="96" spans="2:7" ht="15">
      <c r="B96" s="82"/>
      <c r="C96" s="94"/>
      <c r="D96" s="59"/>
      <c r="E96" s="62"/>
      <c r="F96" s="62"/>
      <c r="G96" s="62"/>
    </row>
    <row r="97" spans="1:15" ht="15">
      <c r="A97" s="18"/>
      <c r="B97" s="10"/>
      <c r="C97" s="10"/>
      <c r="D97" s="10"/>
      <c r="L97"/>
      <c r="O97" s="18"/>
    </row>
    <row r="98" spans="1:15" ht="15.75">
      <c r="A98" s="7" t="s">
        <v>119</v>
      </c>
      <c r="B98" s="10"/>
      <c r="C98" s="10"/>
      <c r="D98" s="10"/>
      <c r="E98" s="16" t="s">
        <v>277</v>
      </c>
      <c r="F98" s="10" t="s">
        <v>276</v>
      </c>
      <c r="G98" s="12" t="s">
        <v>275</v>
      </c>
      <c r="H98" s="16" t="s">
        <v>278</v>
      </c>
      <c r="L98" t="s">
        <v>119</v>
      </c>
      <c r="O98" s="18"/>
    </row>
    <row r="99" spans="1:15" ht="15">
      <c r="A99" s="16"/>
      <c r="B99" s="10"/>
      <c r="C99" s="10"/>
      <c r="D99" s="10"/>
      <c r="L99" t="s">
        <v>120</v>
      </c>
      <c r="O99" s="18"/>
    </row>
    <row r="100" spans="1:15" ht="15">
      <c r="A100" s="10" t="s">
        <v>313</v>
      </c>
      <c r="B100" s="16" t="s">
        <v>16</v>
      </c>
      <c r="C100" s="16" t="s">
        <v>121</v>
      </c>
      <c r="D100" s="16" t="s">
        <v>122</v>
      </c>
      <c r="E100" s="16" t="s">
        <v>123</v>
      </c>
      <c r="F100" s="190"/>
      <c r="G100" s="16" t="s">
        <v>16</v>
      </c>
      <c r="H100" s="16" t="s">
        <v>121</v>
      </c>
      <c r="I100" s="16" t="s">
        <v>122</v>
      </c>
      <c r="J100" s="16" t="s">
        <v>123</v>
      </c>
      <c r="L100" t="s">
        <v>313</v>
      </c>
      <c r="O100" s="18"/>
    </row>
    <row r="101" spans="1:15" ht="15">
      <c r="A101" s="10" t="s">
        <v>273</v>
      </c>
      <c r="B101" s="30">
        <f>M21</f>
        <v>180964766.12794885</v>
      </c>
      <c r="C101" s="30">
        <f>M25</f>
        <v>84761909.11983907</v>
      </c>
      <c r="D101" s="30">
        <f>M24+M26+M27+M28</f>
        <v>31879056.81032087</v>
      </c>
      <c r="E101" s="43">
        <f>M32</f>
        <v>50788427.472561836</v>
      </c>
      <c r="F101" s="191"/>
      <c r="G101" s="51">
        <f>ROUNDDOWN(B101,-7)</f>
        <v>180000000</v>
      </c>
      <c r="H101" s="51">
        <f>ROUNDDOWN(C101,-7)</f>
        <v>80000000</v>
      </c>
      <c r="I101" s="51">
        <f>ROUNDDOWN(D101,-6)</f>
        <v>31000000</v>
      </c>
      <c r="J101" s="51">
        <f>ROUNDDOWN(E101,-6)</f>
        <v>50000000</v>
      </c>
      <c r="L101" t="s">
        <v>273</v>
      </c>
      <c r="O101" s="18"/>
    </row>
    <row r="102" spans="1:15" ht="15">
      <c r="A102" s="10" t="s">
        <v>274</v>
      </c>
      <c r="B102" s="52">
        <f>M20</f>
        <v>21868853.912743058</v>
      </c>
      <c r="C102" s="29">
        <f>C101/D65</f>
        <v>10243131.011460915</v>
      </c>
      <c r="D102" s="29">
        <f>D101/D65</f>
        <v>3852453.9952049386</v>
      </c>
      <c r="E102" s="53">
        <f>E101/D65</f>
        <v>6137574.316925901</v>
      </c>
      <c r="F102" s="191"/>
      <c r="G102" s="181">
        <f>ROUNDDOWN(B102,-6)</f>
        <v>21000000</v>
      </c>
      <c r="H102" s="53">
        <f>ROUNDDOWN(C102,-6)</f>
        <v>10000000</v>
      </c>
      <c r="I102" s="53">
        <f>ROUNDDOWN(D102,-5)</f>
        <v>3800000</v>
      </c>
      <c r="J102" s="53">
        <f>ROUNDDOWN(E102,-5)</f>
        <v>6100000</v>
      </c>
      <c r="L102" t="s">
        <v>274</v>
      </c>
      <c r="O102" s="18"/>
    </row>
    <row r="103" spans="1:15" ht="15">
      <c r="A103" s="10" t="s">
        <v>271</v>
      </c>
      <c r="B103" s="10"/>
      <c r="C103" s="25">
        <f>N25</f>
        <v>0.4683890181136655</v>
      </c>
      <c r="D103" s="25">
        <f>D101/M21</f>
        <v>0.17616167772560315</v>
      </c>
      <c r="E103" s="17">
        <f>E101/B101</f>
        <v>0.2806536794938995</v>
      </c>
      <c r="F103" s="191"/>
      <c r="H103" s="54">
        <f>C101/B101</f>
        <v>0.4683890181136655</v>
      </c>
      <c r="I103" s="54">
        <f>D101/B101</f>
        <v>0.17616167772560315</v>
      </c>
      <c r="J103" s="54">
        <f>E101/B101</f>
        <v>0.2806536794938995</v>
      </c>
      <c r="L103" t="s">
        <v>271</v>
      </c>
      <c r="O103" s="18"/>
    </row>
    <row r="104" spans="1:15" ht="15">
      <c r="A104" s="10"/>
      <c r="B104" s="10"/>
      <c r="C104" s="10"/>
      <c r="D104" s="10"/>
      <c r="F104" s="191"/>
      <c r="L104"/>
      <c r="O104" s="18"/>
    </row>
    <row r="105" spans="1:15" ht="15">
      <c r="A105" s="10" t="s">
        <v>314</v>
      </c>
      <c r="B105" s="16" t="s">
        <v>279</v>
      </c>
      <c r="C105" s="16" t="s">
        <v>124</v>
      </c>
      <c r="D105" s="16" t="s">
        <v>40</v>
      </c>
      <c r="E105" s="16" t="s">
        <v>43</v>
      </c>
      <c r="F105" s="190" t="s">
        <v>125</v>
      </c>
      <c r="G105" s="16" t="s">
        <v>279</v>
      </c>
      <c r="H105" s="16" t="s">
        <v>124</v>
      </c>
      <c r="I105" s="16" t="s">
        <v>40</v>
      </c>
      <c r="J105" s="16" t="s">
        <v>43</v>
      </c>
      <c r="K105" s="211" t="s">
        <v>125</v>
      </c>
      <c r="L105" t="s">
        <v>314</v>
      </c>
      <c r="O105" s="18"/>
    </row>
    <row r="106" spans="1:15" ht="15">
      <c r="A106" s="31" t="s">
        <v>273</v>
      </c>
      <c r="B106" s="43">
        <f>D42</f>
        <v>7390815.160761049</v>
      </c>
      <c r="C106" s="30">
        <f>M42</f>
        <v>48064452.49162147</v>
      </c>
      <c r="D106" s="27">
        <f>(SUM(E48:K48))/7</f>
        <v>40151339.378822185</v>
      </c>
      <c r="E106" s="28">
        <f>(SUM(E56:K56))/7</f>
        <v>9026098.117735626</v>
      </c>
      <c r="F106" s="192">
        <f>M58</f>
        <v>99201660.82282081</v>
      </c>
      <c r="G106" s="47">
        <f>ROUNDDOWN(B106,-5)</f>
        <v>7300000</v>
      </c>
      <c r="H106" s="47">
        <f>ROUNDDOWN(C106,-6)</f>
        <v>48000000</v>
      </c>
      <c r="I106" s="47">
        <f>ROUNDDOWN(D106,-6)</f>
        <v>40000000</v>
      </c>
      <c r="J106" s="47">
        <f>ROUNDDOWN(E106,-5)</f>
        <v>9000000</v>
      </c>
      <c r="K106" s="96">
        <f>ROUNDDOWN(F106,-6)</f>
        <v>99000000</v>
      </c>
      <c r="L106" t="s">
        <v>273</v>
      </c>
      <c r="O106" s="18"/>
    </row>
    <row r="107" spans="1:15" ht="15">
      <c r="A107" s="10" t="s">
        <v>274</v>
      </c>
      <c r="B107" s="55">
        <f>D43</f>
        <v>893149.8683699153</v>
      </c>
      <c r="C107" s="52">
        <f>M43</f>
        <v>5808393.050347005</v>
      </c>
      <c r="D107" s="29">
        <f>D106/D65</f>
        <v>4852125.604691503</v>
      </c>
      <c r="E107" s="53">
        <f>E106/D65</f>
        <v>1090767.1441372358</v>
      </c>
      <c r="F107" s="193">
        <f>M58/D65</f>
        <v>11988116.111519132</v>
      </c>
      <c r="G107" s="29">
        <f>ROUNDDOWN(B107,-4)</f>
        <v>890000</v>
      </c>
      <c r="H107" s="29">
        <f>ROUNDDOWN(C107,-5)</f>
        <v>5800000</v>
      </c>
      <c r="I107" s="29">
        <f>ROUNDDOWN(D107,-5)</f>
        <v>4800000</v>
      </c>
      <c r="J107" s="29">
        <f>ROUNDDOWN(E107,-5)</f>
        <v>1000000</v>
      </c>
      <c r="K107" s="85">
        <f>ROUNDDOWN(F107,-6)</f>
        <v>11000000</v>
      </c>
      <c r="L107" t="s">
        <v>274</v>
      </c>
      <c r="O107" s="18"/>
    </row>
    <row r="108" spans="1:15" ht="15">
      <c r="A108" s="10" t="s">
        <v>272</v>
      </c>
      <c r="B108" s="10" t="s">
        <v>270</v>
      </c>
      <c r="C108" s="10"/>
      <c r="D108" s="31">
        <f>(365/12)*(D106/(M21/7))</f>
        <v>47.24062880116954</v>
      </c>
      <c r="E108" s="42">
        <f>(365/12)*(E106/(M21/7))</f>
        <v>10.619783979803863</v>
      </c>
      <c r="F108" s="191"/>
      <c r="G108" s="10" t="s">
        <v>270</v>
      </c>
      <c r="I108" s="130">
        <f>ROUNDDOWN(D108,0)</f>
        <v>47</v>
      </c>
      <c r="J108" s="130">
        <f>ROUNDDOWN(E108,0)</f>
        <v>10</v>
      </c>
      <c r="L108" t="s">
        <v>272</v>
      </c>
      <c r="O108" s="18"/>
    </row>
    <row r="109" spans="1:15" ht="15">
      <c r="A109" s="10"/>
      <c r="B109" s="10"/>
      <c r="C109" s="10"/>
      <c r="D109" s="10"/>
      <c r="F109" s="191"/>
      <c r="L109"/>
      <c r="O109" s="18"/>
    </row>
    <row r="110" spans="1:15" ht="15">
      <c r="A110" s="10" t="s">
        <v>128</v>
      </c>
      <c r="B110" s="182" t="str">
        <f>'2004'!B112</f>
        <v>Jun-05</v>
      </c>
      <c r="C110" s="318" t="str">
        <f>'2004'!C112</f>
        <v>Jun-06</v>
      </c>
      <c r="D110" s="182" t="str">
        <f>'2004'!D112</f>
        <v>Jun-07</v>
      </c>
      <c r="E110" s="182" t="str">
        <f>'2004'!E112</f>
        <v>Total</v>
      </c>
      <c r="F110" s="317" t="str">
        <f>'2004'!F112</f>
        <v>Residual</v>
      </c>
      <c r="G110" s="319" t="str">
        <f>'2004'!G112</f>
        <v>Jun-05</v>
      </c>
      <c r="H110" s="320" t="str">
        <f>'2004'!H112</f>
        <v>Jun-06</v>
      </c>
      <c r="I110" s="319" t="str">
        <f>'2004'!I112</f>
        <v>Jun-07</v>
      </c>
      <c r="J110" s="319" t="str">
        <f>'2004'!J112</f>
        <v>END</v>
      </c>
      <c r="K110" s="319" t="str">
        <f>'2004'!K112</f>
        <v>Residual</v>
      </c>
      <c r="L110" t="s">
        <v>128</v>
      </c>
      <c r="O110" s="18"/>
    </row>
    <row r="111" spans="1:15" ht="15">
      <c r="A111" s="10" t="s">
        <v>130</v>
      </c>
      <c r="B111" s="184">
        <f>1%*'2004'!K$65*'2004'!M32</f>
        <v>135218.02843042472</v>
      </c>
      <c r="C111" s="28">
        <f>0.9%*'2005'!K$65*'2005'!M32</f>
        <v>228547.9236265283</v>
      </c>
      <c r="D111" s="187">
        <f>0.81%*'2006'!K$65*'2006'!M32</f>
        <v>356465.42089477304</v>
      </c>
      <c r="E111" s="187">
        <f>SUM(B111:D111)</f>
        <v>720231.372951726</v>
      </c>
      <c r="F111" s="195">
        <f>1%*(0.9)^3</f>
        <v>0.007290000000000001</v>
      </c>
      <c r="G111" s="197">
        <f>ROUNDDOWN(B111,-4)</f>
        <v>130000</v>
      </c>
      <c r="H111" s="51">
        <f>ROUNDDOWN(C111,-4)</f>
        <v>220000</v>
      </c>
      <c r="I111" s="197">
        <f>ROUNDDOWN(D111,-4)</f>
        <v>350000</v>
      </c>
      <c r="J111" s="197">
        <f>ROUNDDOWN(E111,-4)</f>
        <v>720000</v>
      </c>
      <c r="K111" s="233">
        <f>3*(J111/(1%-F111))*F111</f>
        <v>5810479.704797051</v>
      </c>
      <c r="L111" t="s">
        <v>130</v>
      </c>
      <c r="O111" s="18"/>
    </row>
    <row r="112" spans="1:15" ht="15">
      <c r="A112" s="10" t="s">
        <v>131</v>
      </c>
      <c r="B112" s="184">
        <f>1%*'2004'!K$65*'2004'!M33</f>
        <v>16340.547242347397</v>
      </c>
      <c r="C112" s="181">
        <f>0.9%*'2005'!K$65*'2005'!M33</f>
        <v>27619.08442616656</v>
      </c>
      <c r="D112" s="184">
        <f>0.81%*'2006'!K$65*'2006'!M33</f>
        <v>43077.39225314478</v>
      </c>
      <c r="E112" s="184">
        <f>SUM(B112:D112)</f>
        <v>87037.02392165874</v>
      </c>
      <c r="F112" s="195">
        <f>1%*(0.9)^3</f>
        <v>0.007290000000000001</v>
      </c>
      <c r="G112" s="198">
        <f>ROUNDDOWN(B112,-3)</f>
        <v>16000</v>
      </c>
      <c r="H112" s="53">
        <f>ROUNDDOWN(C112,-3)</f>
        <v>27000</v>
      </c>
      <c r="I112" s="198">
        <f>ROUNDDOWN(D112,-3)</f>
        <v>43000</v>
      </c>
      <c r="J112" s="198">
        <f>ROUNDDOWN(E112,-3)</f>
        <v>87000</v>
      </c>
      <c r="K112" s="184">
        <f>3*(J112/(1%-F112))*F112</f>
        <v>702099.6309963104</v>
      </c>
      <c r="L112" t="s">
        <v>131</v>
      </c>
      <c r="O112" s="18"/>
    </row>
    <row r="113" spans="1:15" ht="15">
      <c r="A113" s="10" t="s">
        <v>267</v>
      </c>
      <c r="B113" s="184">
        <f>B112*20</f>
        <v>326810.9448469479</v>
      </c>
      <c r="C113" s="181">
        <f>C112*20</f>
        <v>552381.6885233312</v>
      </c>
      <c r="D113" s="184">
        <f>D112*20</f>
        <v>861547.8450628957</v>
      </c>
      <c r="E113" s="184">
        <f>SUM(B113:D113)</f>
        <v>1740740.4784331748</v>
      </c>
      <c r="F113" s="231">
        <f>20%*(0.9)^3</f>
        <v>0.1458</v>
      </c>
      <c r="G113" s="198">
        <f>ROUNDDOWN(B113,-4)</f>
        <v>320000</v>
      </c>
      <c r="H113" s="53">
        <f>ROUNDDOWN(C113,-4)</f>
        <v>550000</v>
      </c>
      <c r="I113" s="198">
        <f>ROUNDDOWN(D113,-4)</f>
        <v>860000</v>
      </c>
      <c r="J113" s="198">
        <f>ROUNDDOWN(E113,-4)</f>
        <v>1740000</v>
      </c>
      <c r="K113" s="184">
        <f>3*(J113/(20%-F113))*F113</f>
        <v>14041992.619926201</v>
      </c>
      <c r="L113" t="s">
        <v>267</v>
      </c>
      <c r="O113" s="18"/>
    </row>
    <row r="114" spans="1:15" ht="15">
      <c r="A114" s="10" t="s">
        <v>269</v>
      </c>
      <c r="B114" s="185"/>
      <c r="C114" s="25">
        <f>(C111-B111)/B111</f>
        <v>0.690217837661534</v>
      </c>
      <c r="D114" s="188">
        <f>(D111-C111)/C111</f>
        <v>0.5596966064643649</v>
      </c>
      <c r="E114" s="189"/>
      <c r="F114" s="196"/>
      <c r="H114" s="56">
        <f>C111/$B111</f>
        <v>1.690217837661534</v>
      </c>
      <c r="I114" s="199">
        <f>D111/$B111</f>
        <v>2.6362270255862317</v>
      </c>
      <c r="J114" s="199">
        <f>E111/$B111</f>
        <v>5.326444863247765</v>
      </c>
      <c r="K114" s="234"/>
      <c r="L114" t="s">
        <v>269</v>
      </c>
      <c r="O114" s="18"/>
    </row>
    <row r="115" spans="1:15" ht="15">
      <c r="A115" s="10"/>
      <c r="B115" s="10"/>
      <c r="C115" s="10"/>
      <c r="D115" s="10"/>
      <c r="L115"/>
      <c r="O115" s="1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5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0.77734375" style="18" customWidth="1"/>
    <col min="2" max="3" width="16.77734375" style="77" customWidth="1"/>
    <col min="4" max="4" width="16.77734375" style="18" customWidth="1"/>
    <col min="5" max="5" width="18.3359375" style="18" customWidth="1"/>
    <col min="6" max="11" width="16.77734375" style="18" customWidth="1"/>
    <col min="12" max="12" width="30.77734375" style="12" customWidth="1"/>
    <col min="13" max="13" width="16.77734375" style="201" customWidth="1"/>
    <col min="14" max="14" width="8.77734375" style="156" customWidth="1"/>
    <col min="15" max="16384" width="8.88671875" style="18" customWidth="1"/>
  </cols>
  <sheetData>
    <row r="1" spans="1:14" s="16" customFormat="1" ht="15.75">
      <c r="A1" s="7" t="s">
        <v>308</v>
      </c>
      <c r="B1" s="81" t="s">
        <v>0</v>
      </c>
      <c r="C1" s="81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M1" s="134"/>
      <c r="N1" s="156"/>
    </row>
    <row r="2" spans="1:13" ht="15">
      <c r="A2" s="12"/>
      <c r="B2" s="82"/>
      <c r="C2" s="82"/>
      <c r="D2" s="10"/>
      <c r="E2" s="10"/>
      <c r="F2" s="10"/>
      <c r="G2" s="10"/>
      <c r="H2" s="10"/>
      <c r="I2" s="10" t="s">
        <v>10</v>
      </c>
      <c r="J2" s="10"/>
      <c r="K2" s="10"/>
      <c r="M2" s="135" t="s">
        <v>11</v>
      </c>
    </row>
    <row r="3" spans="1:14" s="16" customFormat="1" ht="15">
      <c r="A3" s="16" t="s">
        <v>284</v>
      </c>
      <c r="B3" s="83" t="s">
        <v>12</v>
      </c>
      <c r="C3" s="111">
        <v>4</v>
      </c>
      <c r="D3" s="112">
        <v>5</v>
      </c>
      <c r="E3" s="112">
        <v>6</v>
      </c>
      <c r="F3" s="112">
        <v>7</v>
      </c>
      <c r="G3" s="112">
        <v>8</v>
      </c>
      <c r="H3" s="112">
        <v>9</v>
      </c>
      <c r="I3" s="112">
        <v>10</v>
      </c>
      <c r="J3" s="112">
        <v>11</v>
      </c>
      <c r="K3" s="112">
        <v>12</v>
      </c>
      <c r="L3" s="16" t="s">
        <v>392</v>
      </c>
      <c r="M3" s="134"/>
      <c r="N3" s="156"/>
    </row>
    <row r="4" spans="1:13" ht="15">
      <c r="A4" s="16"/>
      <c r="B4" s="20"/>
      <c r="C4" s="10"/>
      <c r="D4" s="10"/>
      <c r="E4" s="10"/>
      <c r="F4" s="10"/>
      <c r="G4" s="10"/>
      <c r="H4" s="10"/>
      <c r="I4" s="10"/>
      <c r="J4" s="10"/>
      <c r="K4" s="10"/>
      <c r="M4" s="135"/>
    </row>
    <row r="5" spans="1:14" s="174" customFormat="1" ht="15.75">
      <c r="A5" s="303" t="s">
        <v>318</v>
      </c>
      <c r="B5" s="173">
        <f>$G80*('2005'!$M15+B15-'2005'!$M18-B13+C15/2)/(B6*2*$I80*C9*(1-$C86*(1+$E86)^($F86-13))*($G80-1))</f>
        <v>6.275918317973798</v>
      </c>
      <c r="C5" s="173">
        <f>$G80*((SUM($B15:C15)-B18-C13+D15/2)/((C6*B7*$I80*C9*(1-$C86*(1+$E86)^($F86-7)))*$G80))</f>
        <v>10.21368951105063</v>
      </c>
      <c r="D5" s="173">
        <f>$G80*((SUM($B15:D15)-C18-D13+E15/2)/((D6*C7*$I80*D9*(1-$C86*(1+$E86)^($F86-8)))*$G80))</f>
        <v>13.342066741431813</v>
      </c>
      <c r="E5" s="173">
        <f>$G80*((SUM($B15:E15)-D18-E13+F15/2)/((E6*D7*$I80*E9*(1-$C86*(1+$E86)^($F86-9)))*$G80))</f>
        <v>5.5286282774641675</v>
      </c>
      <c r="F5" s="173">
        <f>$G80*((SUM($B15:F15)-E18-F13+G15/2)/((F6*E7*$I80*F9*(1-$C86*(1+$E86)^($F86-10)))*$G80))</f>
        <v>4.389926629180087</v>
      </c>
      <c r="G5" s="173">
        <f>$G80*((SUM($B15:G15)-F18-G13+H15/2)/((G6*F7*$I80*G9*(1-$C86*(1+$E86)^($F86-11)))*$G80))</f>
        <v>6.890448228476283</v>
      </c>
      <c r="H5" s="173">
        <f>$G80*((SUM($B15:H15)-G18-H13+I15/2)/((H6*G7*$I80*H9*(1-$C86*(1+$E86)^($F86-12)))*$G80))</f>
        <v>9.292830154459976</v>
      </c>
      <c r="I5" s="173">
        <f>$G80*((SUM($B15:I15)-H18-I13+J15/2)/((I6*H7*$I80*I9*(1-$C86*(1+$E86)^($F86-13)))*$G80))</f>
        <v>7.528187208895294</v>
      </c>
      <c r="J5" s="173">
        <f>$G80*((SUM($B15:J15)-I18-J13+K15/2)/((J6*I7*$I80*J9*(1-$C86*(1+$E86)^($F86-14)))*$G80))</f>
        <v>4.458349954084695</v>
      </c>
      <c r="K5" s="173">
        <f>$G80*((SUM($B15:K15)-J18-K13)/((K6*J7*$I80*K9*(1-$C86*(1+$E86)^($F86-15)))*$G80))</f>
        <v>1.9404056990579515</v>
      </c>
      <c r="L5" s="133" t="s">
        <v>211</v>
      </c>
      <c r="M5" s="136"/>
      <c r="N5" s="156"/>
    </row>
    <row r="6" spans="1:14" s="126" customFormat="1" ht="15.75">
      <c r="A6" s="304" t="s">
        <v>319</v>
      </c>
      <c r="B6" s="129">
        <v>2</v>
      </c>
      <c r="C6" s="129">
        <v>2</v>
      </c>
      <c r="D6" s="125">
        <v>2</v>
      </c>
      <c r="E6" s="125">
        <v>2</v>
      </c>
      <c r="F6" s="125">
        <v>2</v>
      </c>
      <c r="G6" s="125">
        <v>2</v>
      </c>
      <c r="H6" s="125">
        <v>2</v>
      </c>
      <c r="I6" s="125">
        <v>2</v>
      </c>
      <c r="J6" s="125">
        <v>2</v>
      </c>
      <c r="K6" s="125">
        <v>2</v>
      </c>
      <c r="L6" s="11" t="s">
        <v>238</v>
      </c>
      <c r="M6" s="137">
        <f>K6</f>
        <v>2</v>
      </c>
      <c r="N6" s="156" t="s">
        <v>253</v>
      </c>
    </row>
    <row r="7" spans="1:14" s="22" customFormat="1" ht="15">
      <c r="A7" s="305" t="s">
        <v>320</v>
      </c>
      <c r="B7" s="72">
        <f>IF(B5&gt;4*$G80,3,IF(B5&gt;3*$G80,2,1))</f>
        <v>1</v>
      </c>
      <c r="C7" s="72">
        <f>IF(C5&gt;3*$G80,IF(B7&gt;=3,B7,B7+1),IF(C8&lt;=20,IF(B7=1,1,IF(C8&lt;20,1,B7-1)),B7))</f>
        <v>1</v>
      </c>
      <c r="D7" s="72">
        <f aca="true" t="shared" si="0" ref="D7:K7">IF(D5&gt;3*$G80,IF(C7&gt;=3,C7,C7+1),IF(D8&lt;=20,IF(C7=1,1,IF(D8&lt;20,1,C7-1)),C7))</f>
        <v>2</v>
      </c>
      <c r="E7" s="72">
        <f>IF(E5&gt;3*$G80,IF(D7&gt;=3,D7,D7+1),IF(E8&lt;=20,IF(D7=1,1,IF(E8&lt;20,1,D7-1)),D7))</f>
        <v>2</v>
      </c>
      <c r="F7" s="72">
        <f t="shared" si="0"/>
        <v>2</v>
      </c>
      <c r="G7" s="72">
        <f t="shared" si="0"/>
        <v>2</v>
      </c>
      <c r="H7" s="72">
        <f t="shared" si="0"/>
        <v>2</v>
      </c>
      <c r="I7" s="72">
        <f t="shared" si="0"/>
        <v>2</v>
      </c>
      <c r="J7" s="72">
        <f t="shared" si="0"/>
        <v>2</v>
      </c>
      <c r="K7" s="72">
        <f t="shared" si="0"/>
        <v>2</v>
      </c>
      <c r="L7" s="23" t="s">
        <v>239</v>
      </c>
      <c r="M7" s="138">
        <f>K7</f>
        <v>2</v>
      </c>
      <c r="N7" s="156" t="s">
        <v>253</v>
      </c>
    </row>
    <row r="8" spans="1:14" s="22" customFormat="1" ht="15">
      <c r="A8" s="305" t="s">
        <v>321</v>
      </c>
      <c r="B8" s="24">
        <f>IF(B5&gt;2*$G80,50,(IF(B5&gt;1.5*$G80,45,IF(B5&gt;$G80,40,IF(B5&gt;0.25*$G80,30,IF(B5&lt;0*$G80,0,20))))))</f>
        <v>45</v>
      </c>
      <c r="C8" s="24">
        <f>IF(C5&gt;3*$G80,50,(IF(C5&gt;2*$G80,45,IF(C5&gt;$G80,40,IF(C5&gt;0.25*$G80,30,IF(C5&lt;-0.2*$G80,0,20))))))</f>
        <v>45</v>
      </c>
      <c r="D8" s="24">
        <f aca="true" t="shared" si="1" ref="D8:K8">IF(D5&gt;3*$G80,50,(IF(D5&gt;2*$G80,45,IF(D5&gt;$G80,40,IF(D5&gt;0.25*$G80,30,IF(D5&lt;-0.2*$G80,0,20))))))</f>
        <v>50</v>
      </c>
      <c r="E8" s="24">
        <f>IF(E5&gt;3*$G80,50,(IF(E5&gt;2*$G80,45,IF(E5&gt;$G80,40,IF(E5&gt;0.25*$G80,30,IF(E5&lt;-0.2*$G80,0,20))))))</f>
        <v>40</v>
      </c>
      <c r="F8" s="24">
        <f t="shared" si="1"/>
        <v>40</v>
      </c>
      <c r="G8" s="24">
        <f t="shared" si="1"/>
        <v>40</v>
      </c>
      <c r="H8" s="24">
        <f t="shared" si="1"/>
        <v>45</v>
      </c>
      <c r="I8" s="24">
        <f t="shared" si="1"/>
        <v>40</v>
      </c>
      <c r="J8" s="24">
        <f t="shared" si="1"/>
        <v>40</v>
      </c>
      <c r="K8" s="24">
        <f t="shared" si="1"/>
        <v>30</v>
      </c>
      <c r="L8" s="23" t="s">
        <v>240</v>
      </c>
      <c r="M8" s="138">
        <f>SUM(B8:K8)/9.5</f>
        <v>43.68421052631579</v>
      </c>
      <c r="N8" s="156" t="s">
        <v>254</v>
      </c>
    </row>
    <row r="9" spans="1:14" s="68" customFormat="1" ht="15">
      <c r="A9" s="306" t="s">
        <v>322</v>
      </c>
      <c r="B9" s="57">
        <f>$C83*(1-$E83)^($F83-4)</f>
        <v>16.577297691089093</v>
      </c>
      <c r="C9" s="57">
        <f>$C83*(1-$E83)^($F83-7)</f>
        <v>17.050659252882014</v>
      </c>
      <c r="D9" s="57">
        <f>$C83*(1-$E83)^($F83-8)</f>
        <v>17.21143132531877</v>
      </c>
      <c r="E9" s="57">
        <f>$C83*(1-$E83)^($F83-9)</f>
        <v>17.37371933088704</v>
      </c>
      <c r="F9" s="57">
        <f>$C83*(1-$E83)^($F83-10)</f>
        <v>17.537537563445362</v>
      </c>
      <c r="G9" s="57">
        <f>$C83*(1-$E83)^($F83-11)</f>
        <v>17.702900451630224</v>
      </c>
      <c r="H9" s="57">
        <f>$C83*(1-$E83)^($F83-12)</f>
        <v>17.869822560126945</v>
      </c>
      <c r="I9" s="57">
        <f>$C83*(1-$E83)^($F83-13)</f>
        <v>18.038318590952446</v>
      </c>
      <c r="J9" s="57">
        <f>$C83*(1-$E83)^($F83-14)</f>
        <v>18.208403384750184</v>
      </c>
      <c r="K9" s="57">
        <v>5</v>
      </c>
      <c r="L9" s="67" t="s">
        <v>241</v>
      </c>
      <c r="M9" s="139">
        <f>SUM(B9:K9)/9.5</f>
        <v>17.11264106853496</v>
      </c>
      <c r="N9" s="156" t="s">
        <v>254</v>
      </c>
    </row>
    <row r="10" spans="1:14" s="22" customFormat="1" ht="15">
      <c r="A10" s="305" t="s">
        <v>323</v>
      </c>
      <c r="B10" s="24">
        <f>B6*B7*B8*($G80-1)*(1-$C86*(1+$E86)^($F86-4))</f>
        <v>258.166316767299</v>
      </c>
      <c r="C10" s="24">
        <f>C6*C7*C8*$G80*(1-$C86*(1+$E86)^($F86-7))</f>
        <v>345.4960514221273</v>
      </c>
      <c r="D10" s="24">
        <f>D6*D7*D8*$G80*(1-$C86*(1+$E86)^($F86-8))</f>
        <v>768.661159126449</v>
      </c>
      <c r="E10" s="24">
        <f>E6*E7*E8*$G80*(1-$C86*(1+$E86)^($F86-9))</f>
        <v>615.6228961286728</v>
      </c>
      <c r="F10" s="24">
        <f>F6*F7*F8*$G80*(1-$C86*(1+$E86)^($F86-10))</f>
        <v>616.297655856546</v>
      </c>
      <c r="G10" s="24">
        <f>G6*G7*G8*$G80*(1-$C86*(1+$E86)^($F86-11))</f>
        <v>616.9537381938335</v>
      </c>
      <c r="H10" s="24">
        <f>H6*H7*H8*$G80*(1-$C86*(1+$E86)^($F86-12))</f>
        <v>694.7906176483311</v>
      </c>
      <c r="I10" s="24">
        <f>I6*I7*I8*$G80*(1-$C86*(1+$E86)^($F86-13))</f>
        <v>618.2119243515594</v>
      </c>
      <c r="J10" s="24">
        <f>J6*J7*J8*$G80*(1-$C86*(1+$E86)^($F86-14))</f>
        <v>618.8150196196859</v>
      </c>
      <c r="K10" s="24">
        <f>K6*K7*K8*($G80-1)*(1-$C86*(1+$E86)^($F86-15))</f>
        <v>348.4132994102966</v>
      </c>
      <c r="L10" s="23" t="s">
        <v>245</v>
      </c>
      <c r="M10" s="138">
        <f>SUM(B10:K10)/9.5</f>
        <v>579.0977556341895</v>
      </c>
      <c r="N10" s="156" t="s">
        <v>254</v>
      </c>
    </row>
    <row r="11" spans="1:14" ht="15">
      <c r="A11" s="307" t="s">
        <v>324</v>
      </c>
      <c r="B11" s="22">
        <f>B9*B10</f>
        <v>4279.699886863521</v>
      </c>
      <c r="C11" s="22">
        <f>C9*C10</f>
        <v>5890.935446014895</v>
      </c>
      <c r="D11" s="22">
        <f>D9*D10</f>
        <v>13229.7587527448</v>
      </c>
      <c r="E11" s="22">
        <f>E9*E10</f>
        <v>10695.659411007387</v>
      </c>
      <c r="F11" s="22">
        <f aca="true" t="shared" si="2" ref="F11:K11">F9*F10</f>
        <v>10808.343289847498</v>
      </c>
      <c r="G11" s="22">
        <f t="shared" si="2"/>
        <v>10921.87061050657</v>
      </c>
      <c r="H11" s="22">
        <f t="shared" si="2"/>
        <v>12415.785053816682</v>
      </c>
      <c r="I11" s="22">
        <f t="shared" si="2"/>
        <v>11151.503648179221</v>
      </c>
      <c r="J11" s="22">
        <f t="shared" si="2"/>
        <v>11267.63349777734</v>
      </c>
      <c r="K11" s="22">
        <f t="shared" si="2"/>
        <v>1742.0664970514829</v>
      </c>
      <c r="L11" s="18" t="s">
        <v>246</v>
      </c>
      <c r="M11" s="140">
        <f>SUM(B11:K11)</f>
        <v>92403.2560938094</v>
      </c>
      <c r="N11" s="156" t="s">
        <v>404</v>
      </c>
    </row>
    <row r="12" spans="1:14" ht="15">
      <c r="A12" s="307" t="s">
        <v>325</v>
      </c>
      <c r="B12" s="22">
        <f>B11*(1-(1-($C89*(1+$E89)^($F89-4))))</f>
        <v>150.40779247212313</v>
      </c>
      <c r="C12" s="22">
        <f>C11*(1-(1-($C89*(1+$E89)^($F89-7))))</f>
        <v>171.45996562257432</v>
      </c>
      <c r="D12" s="22">
        <f>D11*(1-(1-($C89*(1+$E89)^($F89-8))))</f>
        <v>361.60759398381623</v>
      </c>
      <c r="E12" s="22">
        <f>E11*(1-(1-($C89*(1+$E89)^($F89-9))))</f>
        <v>274.5366509074497</v>
      </c>
      <c r="F12" s="22">
        <f>F11*(1-(1-($C89*(1+$E89)^($F89-10))))</f>
        <v>260.5307834451837</v>
      </c>
      <c r="G12" s="22">
        <f>G11*(1-(1-($C89*(1+$E89)^($F89-11))))</f>
        <v>247.23166375377843</v>
      </c>
      <c r="H12" s="22">
        <f>H11*(1-(1-($C89*(1+$E89)^($F89-12))))</f>
        <v>263.92978165943686</v>
      </c>
      <c r="I12" s="22">
        <f>I11*(1-(1-($C89*(1+$E89)^($F89-13))))</f>
        <v>222.61518900090715</v>
      </c>
      <c r="J12" s="22">
        <f>J11*(1-(1-($C89*(1+$E89)^($F89-14))))</f>
        <v>211.23273547559026</v>
      </c>
      <c r="K12" s="22">
        <f>K11*(1-(1-($C89*(1+$E89)^($F89-15))))</f>
        <v>30.669054584301136</v>
      </c>
      <c r="L12" s="18" t="s">
        <v>247</v>
      </c>
      <c r="M12" s="141">
        <f>SUM(B10:K10)</f>
        <v>5501.4286785248005</v>
      </c>
      <c r="N12" s="156" t="s">
        <v>404</v>
      </c>
    </row>
    <row r="13" spans="1:14" ht="15">
      <c r="A13" s="308" t="s">
        <v>326</v>
      </c>
      <c r="B13" s="27">
        <f>'2005'!M13</f>
        <v>0</v>
      </c>
      <c r="C13" s="27">
        <f>B14*(100%-B17)</f>
        <v>0</v>
      </c>
      <c r="D13" s="27">
        <f aca="true" t="shared" si="3" ref="D13:K13">C14*(100%-C17)</f>
        <v>0</v>
      </c>
      <c r="E13" s="27">
        <f t="shared" si="3"/>
        <v>2716.9187335447045</v>
      </c>
      <c r="F13" s="27">
        <f t="shared" si="3"/>
        <v>0</v>
      </c>
      <c r="G13" s="27">
        <f t="shared" si="3"/>
        <v>3685.8540000469548</v>
      </c>
      <c r="H13" s="24">
        <f t="shared" si="3"/>
        <v>4360.492946799747</v>
      </c>
      <c r="I13" s="27">
        <f t="shared" si="3"/>
        <v>0</v>
      </c>
      <c r="J13" s="27">
        <f t="shared" si="3"/>
        <v>0</v>
      </c>
      <c r="K13" s="27">
        <f t="shared" si="3"/>
        <v>0</v>
      </c>
      <c r="L13" s="28" t="s">
        <v>242</v>
      </c>
      <c r="M13" s="138">
        <f>K14*(100%-K17)</f>
        <v>209.0348829042397</v>
      </c>
      <c r="N13" s="156" t="s">
        <v>253</v>
      </c>
    </row>
    <row r="14" spans="1:14" ht="15">
      <c r="A14" s="308" t="s">
        <v>327</v>
      </c>
      <c r="B14" s="24">
        <f aca="true" t="shared" si="4" ref="B14:K14">B11-B12+B13</f>
        <v>4129.292094391398</v>
      </c>
      <c r="C14" s="24">
        <f t="shared" si="4"/>
        <v>5719.475480392321</v>
      </c>
      <c r="D14" s="24">
        <f t="shared" si="4"/>
        <v>12868.151158760984</v>
      </c>
      <c r="E14" s="24">
        <f t="shared" si="4"/>
        <v>13138.041493644641</v>
      </c>
      <c r="F14" s="24">
        <f t="shared" si="4"/>
        <v>10547.812506402315</v>
      </c>
      <c r="G14" s="24">
        <f t="shared" si="4"/>
        <v>14360.492946799746</v>
      </c>
      <c r="H14" s="24">
        <f t="shared" si="4"/>
        <v>16512.34821895699</v>
      </c>
      <c r="I14" s="24">
        <f t="shared" si="4"/>
        <v>10928.888459178313</v>
      </c>
      <c r="J14" s="24">
        <f t="shared" si="4"/>
        <v>11056.40076230175</v>
      </c>
      <c r="K14" s="24">
        <f t="shared" si="4"/>
        <v>1711.3974424671817</v>
      </c>
      <c r="L14" s="26" t="s">
        <v>243</v>
      </c>
      <c r="M14" s="142">
        <f>M13</f>
        <v>209.0348829042397</v>
      </c>
      <c r="N14" s="156" t="s">
        <v>253</v>
      </c>
    </row>
    <row r="15" spans="1:14" s="115" customFormat="1" ht="15.75">
      <c r="A15" s="309" t="s">
        <v>328</v>
      </c>
      <c r="B15" s="114">
        <v>5000</v>
      </c>
      <c r="C15" s="114">
        <v>10000</v>
      </c>
      <c r="D15" s="114">
        <v>5000</v>
      </c>
      <c r="E15" s="114">
        <v>15000</v>
      </c>
      <c r="F15" s="114">
        <v>5000</v>
      </c>
      <c r="G15" s="114">
        <v>10000</v>
      </c>
      <c r="H15" s="114">
        <v>25000</v>
      </c>
      <c r="I15" s="114">
        <v>10000</v>
      </c>
      <c r="J15" s="114">
        <v>5000</v>
      </c>
      <c r="K15" s="114">
        <v>0</v>
      </c>
      <c r="L15" s="113" t="s">
        <v>248</v>
      </c>
      <c r="M15" s="143">
        <f>SUM(B15:K15)</f>
        <v>90000</v>
      </c>
      <c r="N15" s="156" t="s">
        <v>215</v>
      </c>
    </row>
    <row r="16" spans="1:14" s="117" customFormat="1" ht="15">
      <c r="A16" s="307" t="s">
        <v>329</v>
      </c>
      <c r="B16" s="117">
        <f>$G80*(('2005'!$M15+B15-'2005'!$M18-B14)/((B6*B7*$I80*C9*(1-$C86*(1+$E86)^($F86-1)))*$G80))</f>
        <v>2.5208122730050566</v>
      </c>
      <c r="C16" s="118">
        <f>$G80*((SUM($B15:C15)-B18-C14)/((C6*C7*$I80*C9*(1-$C86*(1+$E86)^($F86-1)))*$G80))</f>
        <v>3.965488506400224</v>
      </c>
      <c r="D16" s="118">
        <f>$G80*((SUM($B15:D15)-C18-D14)/((D6*D7*$I80*D9*(1-$C86*(1+$E86)^($F86-1)))*$G80))</f>
        <v>-1.0359919703079667</v>
      </c>
      <c r="E16" s="118">
        <f>$G80*((SUM($B15:E15)-D18-E14)/((E6*E7*$I80*E9*(1-$C86*(1+$E86)^($F86-1)))*$G80))</f>
        <v>0.7033539431888438</v>
      </c>
      <c r="F16" s="118">
        <f>$G80*((SUM($B15:F15)-E18-F14)/((F6*F7*$I80*F9*(1-$C86*(1+$E86)^($F86-1)))*$G80))</f>
        <v>-1.379323843102713</v>
      </c>
      <c r="G16" s="118">
        <f>$G80*((SUM($B15:G15)-F18-G14)/((G6*G7*$I80*G9*(1-$C86*(1+$E86)^($F86-2)))*$G80))</f>
        <v>-1.6143081727917146</v>
      </c>
      <c r="H16" s="118">
        <f>$G80*((SUM($B15:H15)-G18-H14)/((H6*H7*$I80*H9*(1-$C86*(1+$E86)^($F86-3)))*$G80))</f>
        <v>3.1086984629828556</v>
      </c>
      <c r="I16" s="118">
        <f>$G80*((SUM($B15:I15)-H18-I14)/((I6*I7*$I80*I9*(1-$C86*(1+$E86)^($F86-4)))*$G80))</f>
        <v>2.7390432925651824</v>
      </c>
      <c r="J16" s="118">
        <f>$G80*((SUM($B15:J15)-I18-J14)/((J6*J7*$I80*J9*(1-$C86*(1+$E86)^($F86-5)))*$G80))</f>
        <v>0.538637284977135</v>
      </c>
      <c r="K16" s="118">
        <f>$G80*((SUM($B15:K15)-J18-K14)/((K6*K7*$I80*K9*(1-$C86*(1+$E86)^($F86-6)))*$G80))</f>
        <v>-0.27258849560744547</v>
      </c>
      <c r="L16" s="116" t="s">
        <v>306</v>
      </c>
      <c r="M16" s="153">
        <f>$G80*((SUM($B15:K15)-K18-M13)/((K6*K7*$I80*K9*(1-$C86*(1+$E86)^($F86-15)))*$G80))</f>
        <v>-0.2699830846472216</v>
      </c>
      <c r="N16" s="156" t="s">
        <v>253</v>
      </c>
    </row>
    <row r="17" spans="1:14" ht="15">
      <c r="A17" s="307" t="s">
        <v>330</v>
      </c>
      <c r="B17" s="25">
        <f>IF(('2005'!M18+B15)&lt;='2005'!M18,0,(IF(('2005'!M18+B15-'2005'!M18)&gt;B14,100%,('2005'!M18+B15-'2005'!M18)/B14)))</f>
        <v>1</v>
      </c>
      <c r="C17" s="25">
        <f>IF(SUM($B15:C15)&lt;=B18,0,(IF((SUM($B15:C15)-B18)&gt;C14,100%,(SUM($B15:C15)-B18)/C14)))</f>
        <v>1</v>
      </c>
      <c r="D17" s="25">
        <f>IF(SUM($B15:D15)&lt;=C18,0,(IF((SUM($B15:D15)-C18)&gt;D14,100%,(SUM($B15:D15)-C18)/D14)))</f>
        <v>0.7888648726592745</v>
      </c>
      <c r="E17" s="25">
        <f>IF(SUM($B15:E15)&lt;=D18,0,(IF((SUM($B15:E15)-D18)&gt;E14,100%,(SUM($B15:E15)-D18)/E14)))</f>
        <v>1</v>
      </c>
      <c r="F17" s="25">
        <f>IF(SUM($B15:F15)&lt;=E18,0,(IF((SUM($B15:F15)-E18)&gt;F14,100%,(SUM($B15:F15)-E18)/F14)))</f>
        <v>0.650557497319021</v>
      </c>
      <c r="G17" s="25">
        <f>IF(SUM($B15:G15)&lt;=F18,0,(IF((SUM($B15:G15)-F18)&gt;G14,100%,(SUM($B15:G15)-F18)/G14)))</f>
        <v>0.6963549257707419</v>
      </c>
      <c r="H17" s="25">
        <f>IF(SUM($B15:H15)&lt;=G18,0,(IF((SUM($B15:H15)-G18)&gt;H14,100%,(SUM($B15:H15)-G18)/H14)))</f>
        <v>1</v>
      </c>
      <c r="I17" s="25">
        <f>IF(SUM($B15:I15)&lt;=H18,0,(IF((SUM($B15:I15)-H18)&gt;I14,100%,(SUM($B15:I15)-H18)/I14)))</f>
        <v>1</v>
      </c>
      <c r="J17" s="25">
        <f>IF(SUM($B15:J15)&lt;=I18,0,(IF((SUM($B15:J15)-I18)&gt;J14,100%,(SUM($B15:J15)-I18)/J14)))</f>
        <v>1</v>
      </c>
      <c r="K17" s="25">
        <f>IF(SUM($B15:K15)&lt;=J18,0,(IF((SUM($B15:K15)-J18)&gt;K14,100%,(SUM($B15:K15)-J18)/K14)))</f>
        <v>0.8778571956944781</v>
      </c>
      <c r="L17" s="12" t="s">
        <v>249</v>
      </c>
      <c r="M17" s="144">
        <f>SUM(B17:K17)/9.5</f>
        <v>0.9488036306782647</v>
      </c>
      <c r="N17" s="156" t="s">
        <v>254</v>
      </c>
    </row>
    <row r="18" spans="1:14" s="174" customFormat="1" ht="15.75">
      <c r="A18" s="16"/>
      <c r="B18" s="173">
        <f>'2005'!M18+B14*B17-'2005'!M18</f>
        <v>4129.2920943914</v>
      </c>
      <c r="C18" s="173">
        <f>B18+C14*C17</f>
        <v>9848.76757478372</v>
      </c>
      <c r="D18" s="173">
        <f aca="true" t="shared" si="5" ref="D18:K18">C18+D14*D17</f>
        <v>20000</v>
      </c>
      <c r="E18" s="173">
        <f t="shared" si="5"/>
        <v>33138.04149364464</v>
      </c>
      <c r="F18" s="173">
        <f t="shared" si="5"/>
        <v>40000</v>
      </c>
      <c r="G18" s="173">
        <f t="shared" si="5"/>
        <v>50000</v>
      </c>
      <c r="H18" s="173">
        <f t="shared" si="5"/>
        <v>66512.34821895699</v>
      </c>
      <c r="I18" s="173">
        <f t="shared" si="5"/>
        <v>77441.2366781353</v>
      </c>
      <c r="J18" s="173">
        <f t="shared" si="5"/>
        <v>88497.63744043706</v>
      </c>
      <c r="K18" s="173">
        <f t="shared" si="5"/>
        <v>90000</v>
      </c>
      <c r="L18" s="168" t="s">
        <v>216</v>
      </c>
      <c r="M18" s="176">
        <f>K18</f>
        <v>90000</v>
      </c>
      <c r="N18" s="156" t="s">
        <v>404</v>
      </c>
    </row>
    <row r="19" spans="1:13" ht="15.75">
      <c r="A19" s="303" t="s">
        <v>331</v>
      </c>
      <c r="B19" s="10"/>
      <c r="C19" s="10"/>
      <c r="D19" s="10"/>
      <c r="E19" s="10"/>
      <c r="F19" s="27"/>
      <c r="G19" s="10"/>
      <c r="H19" s="10"/>
      <c r="I19" s="10"/>
      <c r="J19" s="10"/>
      <c r="K19" s="10"/>
      <c r="L19" s="7" t="s">
        <v>14</v>
      </c>
      <c r="M19" s="135"/>
    </row>
    <row r="20" spans="1:14" ht="15">
      <c r="A20" s="308" t="s">
        <v>332</v>
      </c>
      <c r="B20" s="85">
        <f>B21/D65</f>
        <v>1751518.4593732695</v>
      </c>
      <c r="C20" s="85">
        <f>C21/D65</f>
        <v>2358635.6588324825</v>
      </c>
      <c r="D20" s="29">
        <f>D21/D65</f>
        <v>4305839.977342495</v>
      </c>
      <c r="E20" s="29">
        <f>E21/D65</f>
        <v>5572752.343527817</v>
      </c>
      <c r="F20" s="29">
        <f>F21/D65</f>
        <v>2910631.3422727874</v>
      </c>
      <c r="G20" s="29">
        <f>G21/D65</f>
        <v>4241691.842900302</v>
      </c>
      <c r="H20" s="29">
        <f>H21/D65</f>
        <v>7004029.274747919</v>
      </c>
      <c r="I20" s="29">
        <f>I21/D65</f>
        <v>4635697.70292639</v>
      </c>
      <c r="J20" s="29">
        <f>J21/D65</f>
        <v>4689784.492529201</v>
      </c>
      <c r="K20" s="29">
        <f>K21/D65</f>
        <v>637255.901397695</v>
      </c>
      <c r="L20" s="4" t="s">
        <v>15</v>
      </c>
      <c r="M20" s="145">
        <f>SUM(B20:K20)</f>
        <v>38107836.99585036</v>
      </c>
      <c r="N20" s="156">
        <f>1</f>
        <v>1</v>
      </c>
    </row>
    <row r="21" spans="1:14" ht="15">
      <c r="A21" s="308" t="s">
        <v>333</v>
      </c>
      <c r="B21" s="72">
        <f>B14*B17*D68*(1-G71)</f>
        <v>14493815.251313806</v>
      </c>
      <c r="C21" s="72">
        <f>C14*C17*E68*(1-G71)</f>
        <v>19517710.076838795</v>
      </c>
      <c r="D21" s="24">
        <f>D14*D17*D68*(1-G71)</f>
        <v>35630825.81250914</v>
      </c>
      <c r="E21" s="27">
        <f>E17*E14*D68*(1-G71)</f>
        <v>46114525.64269269</v>
      </c>
      <c r="F21" s="27">
        <f>F14*F17*D68*(1-G71)</f>
        <v>24085474.357307315</v>
      </c>
      <c r="G21" s="27">
        <f>G14*G17*D68*(1-G71)</f>
        <v>35100000</v>
      </c>
      <c r="H21" s="27">
        <f>H14*H17*D68*(1-G71)</f>
        <v>57958342.24853904</v>
      </c>
      <c r="I21" s="27">
        <f>I14*I17*D68*(1-G71)</f>
        <v>38360398.49171588</v>
      </c>
      <c r="J21" s="27">
        <f>J14*J17*D68*(1-G71)</f>
        <v>38807966.67567914</v>
      </c>
      <c r="K21" s="27">
        <f>K14*K17*D68*(1-G71)</f>
        <v>5273292.584065926</v>
      </c>
      <c r="L21" s="4" t="s">
        <v>16</v>
      </c>
      <c r="M21" s="142">
        <f>SUM(B21:K21)</f>
        <v>315342351.1406617</v>
      </c>
      <c r="N21" s="156">
        <f>M21/M21</f>
        <v>1</v>
      </c>
    </row>
    <row r="22" spans="1:14" ht="15">
      <c r="A22" s="308" t="s">
        <v>334</v>
      </c>
      <c r="B22" s="72">
        <f>B17*('2005'!K50+(IF(B8&gt;I80,(B6*B7*G80*F80*B80*((1+E80)^4)*B8+H80*(B8-I80)),(B6*B7*G80*F80*B80*((1+E80)^4))*B8)))</f>
        <v>554032.2067232499</v>
      </c>
      <c r="C22" s="72">
        <f>C17*(B50+(IF(C8&gt;I80,(C6*C7*G80*F80*B80*((1+E80)^7))*(C8+H80*(C8-I80)),(C6*C7*G80*F80*B80*((1+E80)^7))*C8)))</f>
        <v>564795.1393758534</v>
      </c>
      <c r="D22" s="24">
        <f>D17*(C50+(IF(D8&gt;I80,(D6*D7*G80*F80*B80*((1+E80)^8))*D8+(H80*(D8-I80)),(D7*G80*F80*B80*((1+E80)^8))*D8)))</f>
        <v>996474.908466181</v>
      </c>
      <c r="E22" s="27">
        <f>E17*(D50+(IF(E8&gt;I80,(E6*E7*G80*F80*B80*((1+E80)^9))*(E8+(H80*(E8-I80))),(E6*E7*G80*F80*B80*((1+E80)^9))*E8)))</f>
        <v>1283743.1329676423</v>
      </c>
      <c r="F22" s="27">
        <f>F17*(E50+(IF(F8&gt;I80,(F6*F7*G80*F80*B80*((1+E80)^10))*(F8+(H80*(F8-I80))),(F6*F7*G80*F80*B80*(1+E80)^10)*F8)))</f>
        <v>665901.5853622253</v>
      </c>
      <c r="G22" s="27">
        <f>G17*(F50+(IF(G8&gt;I80,(G6*G7*G80*F80*B80*((1+E80)^11))*(G8+(H80*(G8-I80))),(G6*G7*G80*F80*B80*((1+E80)^11))*G8)))</f>
        <v>966440.583156286</v>
      </c>
      <c r="H22" s="27">
        <f>H17*(G50+(IF(H8&gt;I80,(H6*H7*G80*F80*B80*((1+E80)^12)*(H8+(H80*(H8-I80)))),(H6*H7*G80*F80*B80*((1+E80)^12))*H8)))</f>
        <v>1587815.7346354017</v>
      </c>
      <c r="I22" s="27">
        <f>I17*(H50+(IF(I8&gt;I80,(I6*I7*G80*F80*B80*((1+E80)^13)*(I8+(H80*(I8-I80)))),(I6*I7*G80*F80*B80*((1+E80)^13)*I8))))</f>
        <v>1043470.8024180516</v>
      </c>
      <c r="J22" s="27">
        <f>J17*(I50+(IF(J8&gt;I80,(J6*J7*G80*F80*B80*((1+E80)^14))*(J8+(H80*(J8-I80))),(J6*J7*G80*F80*B80*((1+E80)^14))*J8)))</f>
        <v>1050184.5249797187</v>
      </c>
      <c r="K22" s="27">
        <f>K17*(J50+(IF(K8&gt;I80,(K6*1.5*K7*G80*F80*B80*((1+E80)^15))*(K8+(H80*(K8-I80))),(K6*1.5*K7*G80*F80*B80*((1+E80)^15))*K8)))</f>
        <v>1043824.1083850531</v>
      </c>
      <c r="L22" s="4" t="s">
        <v>17</v>
      </c>
      <c r="M22" s="142">
        <f>SUM(B22:K22)</f>
        <v>9756682.726469662</v>
      </c>
      <c r="N22" s="156">
        <f>M22/M21</f>
        <v>0.030939969500378313</v>
      </c>
    </row>
    <row r="23" spans="1:14" ht="15">
      <c r="A23" s="308" t="s">
        <v>335</v>
      </c>
      <c r="B23" s="72">
        <f>B17*('2005'!K51+(B92*((1-E92)^4))*(B11-G89*B12)*(1+((1-G89)*(C89*((1+E89)^(F89-4))))))</f>
        <v>7208486.467364459</v>
      </c>
      <c r="C23" s="72">
        <f>C17*(B51+B92*((1-E92)^7)*(C11-G89*C12)*(1+((1-G89)*(C89*((1+E89)^(F89-7))))))</f>
        <v>9749333.823573135</v>
      </c>
      <c r="D23" s="24">
        <f>D17*(C51+B92*((1-E92)^8)*(D11-G89*D12)*(1+((1-G89)*(C89*((1+E89)^(F89-8))))))</f>
        <v>17172380.430477854</v>
      </c>
      <c r="E23" s="110">
        <f>E17*(D51+(B92*(1-E92)^9)*(E11-G89*E12)*(1+((1-G89)*(C89*((1+E89)^(F89-9))))))</f>
        <v>22093884.289535</v>
      </c>
      <c r="F23" s="27">
        <f>F17*(E51+(B92*((1-E92)^10))*(F11-G89*F12)*(1+(1-G89)*(C89*((1+E89)^(F89-10)))))</f>
        <v>11437580.184588578</v>
      </c>
      <c r="G23" s="27">
        <f>G17*(F51+(B92*((1-E92)^11)*(G11-G89*G12)*(1+((1-G89)*(C89*((1+E89)^(F89-11)))))))</f>
        <v>16579226.87193327</v>
      </c>
      <c r="H23" s="27">
        <f>H17*(G51+(B92*(1-E92)^12)*(H11-G89*H12)*(1+((1-G89)*(C89*((1+E89)^(F89-12))))))</f>
        <v>27197095.183997627</v>
      </c>
      <c r="I23" s="27">
        <f>I17*(H51+(B92*((1-E92)^13)*(I11-G89*I12)*(1+((1-G89)*(C89*((1+E89)^(F89-13)))))))</f>
        <v>17833572.794310242</v>
      </c>
      <c r="J23" s="27">
        <f>J17*(I51+(B92*((1-E92)^14)*(J11-G89*J12)*(1+((1-G89)*C89*((1+E89)^(F89-14))))))</f>
        <v>17918384.098288376</v>
      </c>
      <c r="K23" s="27">
        <f>K17*(J51+(B92*((1-E92)^15)*(K11-G89*K12)*(1+((1-G89)*(C89*((1+E89)^(F89-15)))))))</f>
        <v>2418389.25601191</v>
      </c>
      <c r="L23" s="4" t="s">
        <v>18</v>
      </c>
      <c r="M23" s="142">
        <f>SUM(B23:K23)</f>
        <v>149608333.40008044</v>
      </c>
      <c r="N23" s="156">
        <f>M23/M21</f>
        <v>0.47443146427657</v>
      </c>
    </row>
    <row r="24" spans="1:14" ht="15">
      <c r="A24" s="307" t="s">
        <v>336</v>
      </c>
      <c r="B24" s="72">
        <f>3*B74*(SUM(B22:K22)/12)</f>
        <v>2439170.6816174155</v>
      </c>
      <c r="C24" s="72">
        <f>B74*(SUM(B22:K22)/12)</f>
        <v>813056.8938724719</v>
      </c>
      <c r="D24" s="24">
        <f aca="true" t="shared" si="6" ref="D24:K24">C24</f>
        <v>813056.8938724719</v>
      </c>
      <c r="E24" s="24">
        <f t="shared" si="6"/>
        <v>813056.8938724719</v>
      </c>
      <c r="F24" s="24">
        <f t="shared" si="6"/>
        <v>813056.8938724719</v>
      </c>
      <c r="G24" s="24">
        <f t="shared" si="6"/>
        <v>813056.8938724719</v>
      </c>
      <c r="H24" s="24">
        <f t="shared" si="6"/>
        <v>813056.8938724719</v>
      </c>
      <c r="I24" s="24">
        <f t="shared" si="6"/>
        <v>813056.8938724719</v>
      </c>
      <c r="J24" s="24">
        <f t="shared" si="6"/>
        <v>813056.8938724719</v>
      </c>
      <c r="K24" s="24">
        <f t="shared" si="6"/>
        <v>813056.8938724719</v>
      </c>
      <c r="L24" s="2" t="s">
        <v>19</v>
      </c>
      <c r="M24" s="138">
        <f>SUM(B24:K24)</f>
        <v>9756682.72646966</v>
      </c>
      <c r="N24" s="156">
        <f>M24/M21</f>
        <v>0.03093996950037831</v>
      </c>
    </row>
    <row r="25" spans="1:14" ht="15">
      <c r="A25" s="307" t="s">
        <v>337</v>
      </c>
      <c r="B25" s="86">
        <f>IF(B21=0,"N/A",(B21-B22-B23-B24)/B21)</f>
        <v>0.29613499421552353</v>
      </c>
      <c r="C25" s="86">
        <f aca="true" t="shared" si="7" ref="C25:K25">IF(C21=0,"N/A",(C21-C22-C23-C24)/C21)</f>
        <v>0.4298928607395481</v>
      </c>
      <c r="D25" s="86">
        <f t="shared" si="7"/>
        <v>0.4672615130308766</v>
      </c>
      <c r="E25" s="86">
        <f t="shared" si="7"/>
        <v>0.4754215948395346</v>
      </c>
      <c r="F25" s="86">
        <f t="shared" si="7"/>
        <v>0.46372081063437665</v>
      </c>
      <c r="G25" s="86">
        <f t="shared" si="7"/>
        <v>0.47695942025749205</v>
      </c>
      <c r="H25" s="86">
        <f t="shared" si="7"/>
        <v>0.48932342326869116</v>
      </c>
      <c r="I25" s="86">
        <f t="shared" si="7"/>
        <v>0.48670761345576363</v>
      </c>
      <c r="J25" s="86">
        <f t="shared" si="7"/>
        <v>0.4902689521855917</v>
      </c>
      <c r="K25" s="86">
        <f t="shared" si="7"/>
        <v>0.18925980492949904</v>
      </c>
      <c r="L25" s="2" t="s">
        <v>20</v>
      </c>
      <c r="M25" s="142">
        <f>(M21-M22-M23-M24)</f>
        <v>146220652.28764197</v>
      </c>
      <c r="N25" s="156">
        <f>IF(M21=0,"N/A    ",(M21-M22-M23-M24)/M21)</f>
        <v>0.46368859672267343</v>
      </c>
    </row>
    <row r="26" spans="1:14" ht="15">
      <c r="A26" s="307" t="s">
        <v>338</v>
      </c>
      <c r="B26" s="72">
        <f>3*C74*(M21/12)</f>
        <v>3153423.511406617</v>
      </c>
      <c r="C26" s="72">
        <f>C74*(M21/12)/(1-G71)</f>
        <v>1078093.5081732024</v>
      </c>
      <c r="D26" s="24">
        <f>C26</f>
        <v>1078093.5081732024</v>
      </c>
      <c r="E26" s="27">
        <f>D26</f>
        <v>1078093.5081732024</v>
      </c>
      <c r="F26" s="30">
        <f aca="true" t="shared" si="8" ref="F26:K26">E26</f>
        <v>1078093.5081732024</v>
      </c>
      <c r="G26" s="30">
        <f t="shared" si="8"/>
        <v>1078093.5081732024</v>
      </c>
      <c r="H26" s="30">
        <f>G26</f>
        <v>1078093.5081732024</v>
      </c>
      <c r="I26" s="30">
        <f t="shared" si="8"/>
        <v>1078093.5081732024</v>
      </c>
      <c r="J26" s="30">
        <f t="shared" si="8"/>
        <v>1078093.5081732024</v>
      </c>
      <c r="K26" s="30">
        <f t="shared" si="8"/>
        <v>1078093.5081732024</v>
      </c>
      <c r="L26" s="2" t="s">
        <v>21</v>
      </c>
      <c r="M26" s="146">
        <f aca="true" t="shared" si="9" ref="M26:M33">SUM(B26:K26)</f>
        <v>12856265.084965441</v>
      </c>
      <c r="N26" s="156">
        <f>M26/M21</f>
        <v>0.04076923076923077</v>
      </c>
    </row>
    <row r="27" spans="1:14" s="77" customFormat="1" ht="15">
      <c r="A27" s="307" t="s">
        <v>339</v>
      </c>
      <c r="B27" s="72">
        <f>3*D74*(M21/12)+E74*(B21/(1-G71))</f>
        <v>4313415.677753498</v>
      </c>
      <c r="C27" s="72">
        <f>D74*(M21/12)/(1-G71)+E74*C21</f>
        <v>1835559.637137473</v>
      </c>
      <c r="D27" s="72">
        <f>D74*(M21/12)/(1-G71)+E74*D21</f>
        <v>2238387.5305292318</v>
      </c>
      <c r="E27" s="72">
        <f>D74*(M21/12)/(1-G71)+E74*E21</f>
        <v>2500480.0262838206</v>
      </c>
      <c r="F27" s="72">
        <f>D74*(M21/12)/(1-G71)+E74*F21</f>
        <v>1949753.7441491862</v>
      </c>
      <c r="G27" s="72">
        <f>D74*(M21/12)/(1-G71)+E74*G21</f>
        <v>2225116.8852165034</v>
      </c>
      <c r="H27" s="72">
        <f>D74*(M21/12)/(1-G71)+E74*H21</f>
        <v>2796575.441429979</v>
      </c>
      <c r="I27" s="72">
        <f>D74*(M21/12)/(1-G71)+E74*I21</f>
        <v>2306626.8475094</v>
      </c>
      <c r="J27" s="72">
        <f>D74*(M21/12)/(1-G71)+E74*J21</f>
        <v>2317816.0521084815</v>
      </c>
      <c r="K27" s="72">
        <f>D74*(M21/12)/(1-G71)+E74*K21</f>
        <v>1479449.1998181513</v>
      </c>
      <c r="L27" s="2" t="s">
        <v>22</v>
      </c>
      <c r="M27" s="142">
        <f t="shared" si="9"/>
        <v>23963181.041935727</v>
      </c>
      <c r="N27" s="156">
        <f>M27/M21</f>
        <v>0.07599100138391085</v>
      </c>
    </row>
    <row r="28" spans="1:14" ht="15">
      <c r="A28" s="307" t="s">
        <v>340</v>
      </c>
      <c r="B28" s="72">
        <f>3*F74*(M21/12)</f>
        <v>2365067.6335549625</v>
      </c>
      <c r="C28" s="76">
        <f>F74*(M21/12)*(1+G71)</f>
        <v>808064.7747979455</v>
      </c>
      <c r="D28" s="27">
        <f aca="true" t="shared" si="10" ref="D28:J28">C28</f>
        <v>808064.7747979455</v>
      </c>
      <c r="E28" s="27">
        <f t="shared" si="10"/>
        <v>808064.7747979455</v>
      </c>
      <c r="F28" s="27">
        <f t="shared" si="10"/>
        <v>808064.7747979455</v>
      </c>
      <c r="G28" s="27">
        <f t="shared" si="10"/>
        <v>808064.7747979455</v>
      </c>
      <c r="H28" s="27">
        <f t="shared" si="10"/>
        <v>808064.7747979455</v>
      </c>
      <c r="I28" s="27">
        <f t="shared" si="10"/>
        <v>808064.7747979455</v>
      </c>
      <c r="J28" s="27">
        <f t="shared" si="10"/>
        <v>808064.7747979455</v>
      </c>
      <c r="K28" s="27">
        <f>J28+G74*G65</f>
        <v>821953.2051463554</v>
      </c>
      <c r="L28" s="2" t="s">
        <v>23</v>
      </c>
      <c r="M28" s="142">
        <f t="shared" si="9"/>
        <v>9651539.037084881</v>
      </c>
      <c r="N28" s="156">
        <f>M28/M21</f>
        <v>0.030606542388528436</v>
      </c>
    </row>
    <row r="29" spans="1:14" ht="15">
      <c r="A29" s="307" t="s">
        <v>341</v>
      </c>
      <c r="B29" s="101">
        <f>G65*'2005'!K55-I65*'2005'!K42</f>
        <v>-118539.90630241264</v>
      </c>
      <c r="C29" s="101">
        <f>G65*B55-I65*B42</f>
        <v>-136972.2835305106</v>
      </c>
      <c r="D29" s="103">
        <f>G65*C55-I65*C42</f>
        <v>-104900.40670292036</v>
      </c>
      <c r="E29" s="27">
        <f>G65*D55-I65*D42</f>
        <v>-73548.59935864738</v>
      </c>
      <c r="F29" s="27">
        <f>G65*E55-I65*E42</f>
        <v>-86257.87916567856</v>
      </c>
      <c r="G29" s="27">
        <f>G65*F55-I65*F42</f>
        <v>-98984.19455373824</v>
      </c>
      <c r="H29" s="27">
        <f>G65*G55-I65*G42</f>
        <v>-119332.22152685664</v>
      </c>
      <c r="I29" s="27">
        <f>G65*H55-I65*H42</f>
        <v>-152601.39149623617</v>
      </c>
      <c r="J29" s="27">
        <f>G65*I55-I65*I42</f>
        <v>-185926.77502168668</v>
      </c>
      <c r="K29" s="27">
        <f>G65*J55-I65*J42</f>
        <v>-222095.26056512815</v>
      </c>
      <c r="L29" s="12" t="s">
        <v>206</v>
      </c>
      <c r="M29" s="142">
        <f t="shared" si="9"/>
        <v>-1299158.9182238155</v>
      </c>
      <c r="N29" s="156">
        <f>M29/M21</f>
        <v>-0.004119836468284313</v>
      </c>
    </row>
    <row r="30" spans="1:14" ht="15">
      <c r="A30" s="307" t="s">
        <v>342</v>
      </c>
      <c r="B30" s="72">
        <f>B6*B77/E77</f>
        <v>222222.22222222222</v>
      </c>
      <c r="C30" s="72">
        <f>C6*B77/E77</f>
        <v>222222.22222222222</v>
      </c>
      <c r="D30" s="24">
        <f>D6*B77/E77</f>
        <v>222222.22222222222</v>
      </c>
      <c r="E30" s="30">
        <f>E6*B77/E77</f>
        <v>222222.22222222222</v>
      </c>
      <c r="F30" s="30">
        <f>F6*B77/E77</f>
        <v>222222.22222222222</v>
      </c>
      <c r="G30" s="30">
        <f>G6*B77/E77</f>
        <v>222222.22222222222</v>
      </c>
      <c r="H30" s="30">
        <f>H6*B77/E77</f>
        <v>222222.22222222222</v>
      </c>
      <c r="I30" s="30">
        <f>I6*B77/E77</f>
        <v>222222.22222222222</v>
      </c>
      <c r="J30" s="30">
        <f>J6*B77/E77</f>
        <v>222222.22222222222</v>
      </c>
      <c r="K30" s="30">
        <f>K6*B77/E77</f>
        <v>222222.22222222222</v>
      </c>
      <c r="L30" s="2" t="s">
        <v>24</v>
      </c>
      <c r="M30" s="146">
        <f t="shared" si="9"/>
        <v>2222222.222222222</v>
      </c>
      <c r="N30" s="156">
        <f>M30/M21</f>
        <v>0.007047014821142679</v>
      </c>
    </row>
    <row r="31" spans="1:14" ht="15">
      <c r="A31" s="307" t="s">
        <v>343</v>
      </c>
      <c r="B31" s="87">
        <f aca="true" t="shared" si="11" ref="B31:K31">IF((B21-B22-B23-B24-B26-B27-B28-B29-B30)&gt;0,(B21-B22-B23-B24-B26-B27-B28-B29-B30)*$E65,0)</f>
        <v>0</v>
      </c>
      <c r="C31" s="87">
        <f t="shared" si="11"/>
        <v>343766.72709127516</v>
      </c>
      <c r="D31" s="87">
        <f t="shared" si="11"/>
        <v>930528.4463004714</v>
      </c>
      <c r="E31" s="87">
        <f t="shared" si="11"/>
        <v>1304139.7045649274</v>
      </c>
      <c r="F31" s="87">
        <f t="shared" si="11"/>
        <v>539779.4492480372</v>
      </c>
      <c r="G31" s="87">
        <f t="shared" si="11"/>
        <v>938007.1841386375</v>
      </c>
      <c r="H31" s="87">
        <f t="shared" si="11"/>
        <v>1768106.3033202777</v>
      </c>
      <c r="I31" s="87">
        <f t="shared" si="11"/>
        <v>1080591.9029931433</v>
      </c>
      <c r="J31" s="87">
        <f t="shared" si="11"/>
        <v>1108955.3532193806</v>
      </c>
      <c r="K31" s="87">
        <f t="shared" si="11"/>
        <v>0</v>
      </c>
      <c r="L31" s="2" t="s">
        <v>25</v>
      </c>
      <c r="M31" s="146">
        <f t="shared" si="9"/>
        <v>8013875.07087615</v>
      </c>
      <c r="N31" s="156">
        <f>M31/M21</f>
        <v>0.02541325337966253</v>
      </c>
    </row>
    <row r="32" spans="1:14" ht="15">
      <c r="A32" s="307" t="s">
        <v>344</v>
      </c>
      <c r="B32" s="76">
        <f aca="true" t="shared" si="12" ref="B32:G32">B21-B22-B23-B24-B26-B27-B28-B29-B30-B31</f>
        <v>-5643463.243026206</v>
      </c>
      <c r="C32" s="76">
        <f t="shared" si="12"/>
        <v>4239789.634125727</v>
      </c>
      <c r="D32" s="30">
        <f t="shared" si="12"/>
        <v>11476517.504372481</v>
      </c>
      <c r="E32" s="30">
        <f t="shared" si="12"/>
        <v>16084389.689634105</v>
      </c>
      <c r="F32" s="30">
        <f t="shared" si="12"/>
        <v>6657279.874059125</v>
      </c>
      <c r="G32" s="30">
        <f t="shared" si="12"/>
        <v>11568755.271043196</v>
      </c>
      <c r="H32" s="30">
        <f>H21-H22-H23-H24-H27-H26-H27-H28-H29-H30-H31</f>
        <v>19010068.96618678</v>
      </c>
      <c r="I32" s="30">
        <f>I21-I22-I23-I24-I26-I27-I28-I29-I30-I31</f>
        <v>13327300.136915434</v>
      </c>
      <c r="J32" s="30">
        <f>J21-J22-J23-J24-J26-J27-J28-J29-J30-J31</f>
        <v>13677116.023039028</v>
      </c>
      <c r="K32" s="30">
        <f>K21-K22-K23-K24-K26-K27-K28-K29-K30-K31</f>
        <v>-2381600.548998312</v>
      </c>
      <c r="L32" s="2" t="s">
        <v>209</v>
      </c>
      <c r="M32" s="146">
        <f t="shared" si="9"/>
        <v>88016153.30735135</v>
      </c>
      <c r="N32" s="156">
        <f>M32/M21</f>
        <v>0.27911301158559204</v>
      </c>
    </row>
    <row r="33" spans="1:14" ht="15">
      <c r="A33" s="307" t="s">
        <v>345</v>
      </c>
      <c r="B33" s="85">
        <f>B32/D65</f>
        <v>-681989.5157735597</v>
      </c>
      <c r="C33" s="85">
        <f>C32/D65</f>
        <v>512361.2850907223</v>
      </c>
      <c r="D33" s="29">
        <f>D32/D65</f>
        <v>1386890.3328546805</v>
      </c>
      <c r="E33" s="29">
        <f>E32/D65</f>
        <v>1943732.8930071425</v>
      </c>
      <c r="F33" s="29">
        <f>F32/D65</f>
        <v>804505.1207322205</v>
      </c>
      <c r="G33" s="29">
        <f>G32/D65</f>
        <v>1398036.890760507</v>
      </c>
      <c r="H33" s="29">
        <f>H32/D65</f>
        <v>2297289.301049762</v>
      </c>
      <c r="I33" s="29">
        <f>I32/D65</f>
        <v>1610549.8654882698</v>
      </c>
      <c r="J33" s="29">
        <f>J32/D65</f>
        <v>1652823.6885847768</v>
      </c>
      <c r="K33" s="29">
        <f>K32/D65</f>
        <v>-287806.71286988666</v>
      </c>
      <c r="L33" s="2" t="s">
        <v>27</v>
      </c>
      <c r="M33" s="145">
        <f t="shared" si="9"/>
        <v>10636393.148924636</v>
      </c>
      <c r="N33" s="156">
        <f>M32/M21</f>
        <v>0.27911301158559204</v>
      </c>
    </row>
    <row r="34" spans="1:14" ht="15">
      <c r="A34" s="307" t="s">
        <v>346</v>
      </c>
      <c r="B34" s="86">
        <f>IF(B21=0,"N/A",B32/B21)</f>
        <v>-0.3893704414725894</v>
      </c>
      <c r="C34" s="86">
        <f aca="true" t="shared" si="13" ref="C34:K34">IF(C21=0,"N/A",C32/C21)</f>
        <v>0.21722782116519834</v>
      </c>
      <c r="D34" s="86">
        <f t="shared" si="13"/>
        <v>0.3220951870372689</v>
      </c>
      <c r="E34" s="86">
        <f t="shared" si="13"/>
        <v>0.34879226155897447</v>
      </c>
      <c r="F34" s="86">
        <f t="shared" si="13"/>
        <v>0.2764022736400608</v>
      </c>
      <c r="G34" s="86">
        <f t="shared" si="13"/>
        <v>0.32959416726618795</v>
      </c>
      <c r="H34" s="86">
        <f t="shared" si="13"/>
        <v>0.32799538821636964</v>
      </c>
      <c r="I34" s="86">
        <f t="shared" si="13"/>
        <v>0.34742340176141634</v>
      </c>
      <c r="J34" s="86">
        <f t="shared" si="13"/>
        <v>0.35243062686946813</v>
      </c>
      <c r="K34" s="86">
        <f t="shared" si="13"/>
        <v>-0.45163444110700185</v>
      </c>
      <c r="L34" s="2" t="s">
        <v>28</v>
      </c>
      <c r="M34" s="144">
        <f>M32/M21</f>
        <v>0.27911301158559204</v>
      </c>
      <c r="N34" s="156">
        <f>M32/M21</f>
        <v>0.27911301158559204</v>
      </c>
    </row>
    <row r="35" spans="2:13" ht="15">
      <c r="B35" s="88"/>
      <c r="C35" s="88"/>
      <c r="D35" s="25"/>
      <c r="E35" s="27"/>
      <c r="F35" s="25"/>
      <c r="G35" s="25"/>
      <c r="H35" s="25"/>
      <c r="I35" s="25"/>
      <c r="J35" s="25"/>
      <c r="K35" s="27"/>
      <c r="M35" s="147"/>
    </row>
    <row r="36" spans="1:14" s="77" customFormat="1" ht="15.75">
      <c r="A36" s="310" t="s">
        <v>347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0" t="s">
        <v>29</v>
      </c>
      <c r="M36" s="142"/>
      <c r="N36" s="156"/>
    </row>
    <row r="37" spans="1:14" ht="15">
      <c r="A37" s="307" t="s">
        <v>348</v>
      </c>
      <c r="B37" s="72">
        <f>(B21*B71)/(1-G71)+('2005'!K21*'2005'!C71+'2005'!J21*'2005'!D71+'2005'!I21*'2005'!E71+'2005'!H21*'2005'!F71+'2005'!K21*'2005'!D71+'2005'!J21*'2005'!E71+'2005'!I21*'2005'!F71+'2005'!K21*'2005'!E71+'2005'!J21*'2005'!F71)/(1-'2005'!G71)</f>
        <v>29818365.35657789</v>
      </c>
      <c r="C37" s="72">
        <f>(C21*B71+B21*C71+'2005'!K21*F71)/(1-G71)</f>
        <v>10100364.901800344</v>
      </c>
      <c r="D37" s="24">
        <f>(D21*B71+C21*C71+B21*D71)/(1-G71)</f>
        <v>17940054.16347001</v>
      </c>
      <c r="E37" s="24">
        <f>(E21*B71+D21*C71+C21*D71+B21*E71)/(1-G71)</f>
        <v>28103059.015033137</v>
      </c>
      <c r="F37" s="24">
        <f>(F21*B71+E21*C71+D21*D71+C21*E71+B21*F71)/(1-G71)</f>
        <v>29168916.29416485</v>
      </c>
      <c r="G37" s="24">
        <f>(G21*B71+F21*C71+E21*D71+D21*E71+C21*F71)/(1-G71)</f>
        <v>33597092.84602357</v>
      </c>
      <c r="H37" s="24">
        <f>(H21*B71+G21*C71+F21*D71+E21*E71+D21*F71)/(1-G71)</f>
        <v>41905356.01512339</v>
      </c>
      <c r="I37" s="24">
        <f>(I21*B71+H21*C71+G21*D71+F21*E71+E21*F71)/(1-G71)</f>
        <v>39944819.05027755</v>
      </c>
      <c r="J37" s="24">
        <f>(J21*B71+I21*C71+H21*D71+G21*E71+F21*F71)/(1-G71)</f>
        <v>40468908.293831244</v>
      </c>
      <c r="K37" s="24">
        <f>(K21*B71+J21*C71+I21*D71+H21*E71+G21*F71)/(1-G71)</f>
        <v>31454739.181736525</v>
      </c>
      <c r="L37" s="36" t="s">
        <v>30</v>
      </c>
      <c r="M37" s="138">
        <f>SUM(B37:K37)</f>
        <v>302501675.11803854</v>
      </c>
      <c r="N37" s="156" t="s">
        <v>404</v>
      </c>
    </row>
    <row r="38" spans="1:14" ht="15">
      <c r="A38" s="307" t="s">
        <v>349</v>
      </c>
      <c r="B38" s="72">
        <v>0</v>
      </c>
      <c r="C38" s="72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36" t="s">
        <v>31</v>
      </c>
      <c r="M38" s="138">
        <f>SUM(B38:K38)</f>
        <v>0</v>
      </c>
      <c r="N38" s="156" t="s">
        <v>404</v>
      </c>
    </row>
    <row r="39" spans="1:14" ht="15">
      <c r="A39" s="307" t="s">
        <v>350</v>
      </c>
      <c r="B39" s="72">
        <f aca="true" t="shared" si="14" ref="B39:K39">B37+B38</f>
        <v>29818365.35657789</v>
      </c>
      <c r="C39" s="72">
        <f t="shared" si="14"/>
        <v>10100364.901800344</v>
      </c>
      <c r="D39" s="24">
        <f t="shared" si="14"/>
        <v>17940054.16347001</v>
      </c>
      <c r="E39" s="24">
        <f t="shared" si="14"/>
        <v>28103059.015033137</v>
      </c>
      <c r="F39" s="24">
        <f t="shared" si="14"/>
        <v>29168916.29416485</v>
      </c>
      <c r="G39" s="24">
        <f t="shared" si="14"/>
        <v>33597092.84602357</v>
      </c>
      <c r="H39" s="24">
        <f t="shared" si="14"/>
        <v>41905356.01512339</v>
      </c>
      <c r="I39" s="24">
        <f t="shared" si="14"/>
        <v>39944819.05027755</v>
      </c>
      <c r="J39" s="24">
        <f t="shared" si="14"/>
        <v>40468908.293831244</v>
      </c>
      <c r="K39" s="24">
        <f t="shared" si="14"/>
        <v>31454739.181736525</v>
      </c>
      <c r="L39" s="36" t="s">
        <v>33</v>
      </c>
      <c r="M39" s="138">
        <f>SUM(B39:K39)</f>
        <v>302501675.11803854</v>
      </c>
      <c r="N39" s="156" t="s">
        <v>404</v>
      </c>
    </row>
    <row r="40" spans="1:14" s="22" customFormat="1" ht="15">
      <c r="A40" s="307" t="s">
        <v>351</v>
      </c>
      <c r="B40" s="72">
        <f>B6*B7*G80*F80*B80*((1+E80)^4)*B8+(B92*((1-E92)^6))*('2005'!K11-G89*'2005'!K12)*(1+((1-G89)*(C89*((1+E89)^(F89-6)))))+B24+B26+B27+B28+B29+(IF(B31-'2005'!K53&gt;0,B31-'2005'!K53,0))+(B49-'2005'!J49)+(B6-'2005'!K6)*B77+H77</f>
        <v>22344577.43804021</v>
      </c>
      <c r="C40" s="72">
        <f>(C6*C7*G80*F80*B80*((1+E80)^7))*(C8+(H80*(C8-I80)))+(B92*((1-E92)^4))*(E11-G89*B12)*(1+((1-G89)*(C89*((1+E89)^(F89-4)))))+C24+C26+C27+C28+C29+(IF(C31-B53&gt;0,C31-B53,0))+(C6-B6)*B77</f>
        <v>23104569.54630387</v>
      </c>
      <c r="D40" s="33">
        <f>(D6*D7*G80*F80*B80*((1+E80)^8))*(D8)+(B92*((1-E92)^7))*(E11-G89*C12)*(1+((1-G89)*(C89*((1+E89)^(F89-7)))))+D24+D26+D27+D28+D29+(IF(D31-C53&gt;0,D31-C53,0))+(C49-B49)+(D6-C6)*B77</f>
        <v>30652291.768761653</v>
      </c>
      <c r="E40" s="33">
        <f>(E6*E7*G80*F80*B80*((1+E80)^9))*(E8+(H80*(E8-I80)))+((B92*((1-E92)^8))*(E11-G89*E12)*(1+((1-G89)*(C89*((1+E89)^(F89-8))))))+E24+E26+E27+E28+E29+B31+(IF(E31-D53&gt;0,E31-D53,0))+(D49-C49)+(E6-D6)*B77</f>
        <v>22949819.110073462</v>
      </c>
      <c r="F40" s="33">
        <f>(F6*F7*G80*F80*B80*((1+E80)^10))*(F8+(H80*(F8-I80)))+((B92*((1-E92)^9))*(E11-G89*E12)*(1+((1-G89)*(C89*((1+E89)^(F89-9))))))+F24+F26+F27+F28+F29+C31+(IF(F31-E53&gt;0,F31-E53,0))+(E49-D49)+(F6-E6)*B77</f>
        <v>24008768.96114527</v>
      </c>
      <c r="G40" s="33">
        <f>(G6*G7*G80*F80*B80*((1+E80)^11))*(G8+(H80*(G8-I80)))+((B92*((1-E92)^10))*(F11-G89*F12)*(1+((1-G89)*(C89*((1+E89)^(F89-10)))))+G24+G26+G27+G28+G29+D31)+(IF(G31-F53&gt;0,G31-F53,0))+(F49-E49)+(G6-F6)*B77</f>
        <v>25346565.186143216</v>
      </c>
      <c r="H40" s="33">
        <f>(H6*H7*G80*F80*B80*((1+E80)^12))*(H8+(H80*(H8-I80)))+((B92*((1-E92)^11))*(G11-G89*G12)*(1+((1-G89)*(C89*((1+E89)^(F89-11)))))+H24+H26+H27+H28+H29+E31)+(IF(H31-G53&gt;0,H31-G53,0))+(G49-F49)+(H6-G6)*B77</f>
        <v>28415684.145892493</v>
      </c>
      <c r="I40" s="33">
        <f>(I6*I7*G80*F80*B80*((1+E80)^13))*(I8+(H80*(I8-I80)))+((B92*((1-E92)^12))*(H11-G89*H12)*(1+((1-G89)*(C89*((1+E89)^(F89-12))))))+I24+I26+I27+I28+I29+F31+(IF(I31-H53&gt;0,I31-H53,0))+(H49-G49)+(I6-H6)*B77</f>
        <v>26432354.234102137</v>
      </c>
      <c r="J40" s="33">
        <f>(J6*J7*G80*F80*B80*((1+E80)^14))*(J8+(H80*(J8-I80)))+((B92*((1-E92)^13))*(I11-G89*I12)*(1+((1-G89)*(C89*((1+E89)^(F89-13))))))+J24+J26+J27+J28+J29+G31+(IF(J31-I53&gt;0,J31-I53,0))+(I49-H49)+(J6-I6)*B77</f>
        <v>25803649.06322514</v>
      </c>
      <c r="K40" s="33">
        <f>(K6*1.5*K7*G80*F80*B80*((1+E80)^15))*(K8+(H80*(K8-I80)))+(J17*((B92*((1-E92)^14))*(J11-G89*J12)*(1+((1-G89)*(C89*((1+E89)^(F89-14))))))+K24+K26+K27+K28+K29+H31+(IF(K31-J53&gt;0,K31-J53,0))+H74*D65)+(J49-I49)+(K6-J6)*B77</f>
        <v>17368114.02719855</v>
      </c>
      <c r="L40" s="70" t="s">
        <v>34</v>
      </c>
      <c r="M40" s="138">
        <f>SUM(B40:K40)</f>
        <v>246426393.480886</v>
      </c>
      <c r="N40" s="156" t="s">
        <v>404</v>
      </c>
    </row>
    <row r="41" spans="1:14" ht="15">
      <c r="A41" s="307" t="s">
        <v>352</v>
      </c>
      <c r="B41" s="101">
        <f>B39-B40</f>
        <v>7473787.91853768</v>
      </c>
      <c r="C41" s="101">
        <f>C39-C40</f>
        <v>-13004204.644503525</v>
      </c>
      <c r="D41" s="103">
        <f>D39-D40</f>
        <v>-12712237.605291642</v>
      </c>
      <c r="E41" s="103">
        <f>E39-E40</f>
        <v>5153239.904959675</v>
      </c>
      <c r="F41" s="103">
        <f aca="true" t="shared" si="15" ref="F41:K41">F39-F40</f>
        <v>5160147.333019581</v>
      </c>
      <c r="G41" s="103">
        <f t="shared" si="15"/>
        <v>8250527.659880351</v>
      </c>
      <c r="H41" s="103">
        <f t="shared" si="15"/>
        <v>13489671.869230896</v>
      </c>
      <c r="I41" s="103">
        <f t="shared" si="15"/>
        <v>13512464.816175416</v>
      </c>
      <c r="J41" s="103">
        <f t="shared" si="15"/>
        <v>14665259.230606105</v>
      </c>
      <c r="K41" s="103">
        <f t="shared" si="15"/>
        <v>14086625.154537976</v>
      </c>
      <c r="L41" s="102" t="s">
        <v>35</v>
      </c>
      <c r="M41" s="138">
        <f>SUM(B41:K41)</f>
        <v>56075281.637152515</v>
      </c>
      <c r="N41" s="156" t="s">
        <v>253</v>
      </c>
    </row>
    <row r="42" spans="1:14" ht="15">
      <c r="A42" s="307" t="s">
        <v>353</v>
      </c>
      <c r="B42" s="80">
        <f>'2005'!K42+B41</f>
        <v>55538240.410159156</v>
      </c>
      <c r="C42" s="80">
        <f>B42+C41</f>
        <v>42534035.76565563</v>
      </c>
      <c r="D42" s="35">
        <f>C42+D41</f>
        <v>29821798.160363987</v>
      </c>
      <c r="E42" s="35">
        <f>D42+E41</f>
        <v>34975038.065323666</v>
      </c>
      <c r="F42" s="35">
        <f aca="true" t="shared" si="16" ref="F42:K42">E42+F41</f>
        <v>40135185.39834325</v>
      </c>
      <c r="G42" s="35">
        <f>F42+G41</f>
        <v>48385713.058223605</v>
      </c>
      <c r="H42" s="35">
        <f t="shared" si="16"/>
        <v>61875384.9274545</v>
      </c>
      <c r="I42" s="35">
        <f t="shared" si="16"/>
        <v>75387849.74362992</v>
      </c>
      <c r="J42" s="35">
        <f t="shared" si="16"/>
        <v>90053108.97423603</v>
      </c>
      <c r="K42" s="35">
        <f t="shared" si="16"/>
        <v>104139734.128774</v>
      </c>
      <c r="L42" s="34" t="s">
        <v>36</v>
      </c>
      <c r="M42" s="148">
        <f>K42</f>
        <v>104139734.128774</v>
      </c>
      <c r="N42" s="156" t="s">
        <v>253</v>
      </c>
    </row>
    <row r="43" spans="1:14" ht="15">
      <c r="A43" s="307" t="s">
        <v>354</v>
      </c>
      <c r="B43" s="89">
        <f>B42/D65</f>
        <v>6711569.838085698</v>
      </c>
      <c r="C43" s="89">
        <f>C42/D65</f>
        <v>5140064.745094336</v>
      </c>
      <c r="D43" s="38">
        <f>D42/D65</f>
        <v>3603842.6779896053</v>
      </c>
      <c r="E43" s="38">
        <f>E42/D65</f>
        <v>4226590.702758146</v>
      </c>
      <c r="F43" s="38">
        <f>F42/D65</f>
        <v>4850173.462035438</v>
      </c>
      <c r="G43" s="38">
        <f>G42/D65</f>
        <v>5847216.079543638</v>
      </c>
      <c r="H43" s="38">
        <f>H42/D65</f>
        <v>7477387.906641027</v>
      </c>
      <c r="I43" s="38">
        <f>I42/D65</f>
        <v>9110314.16841449</v>
      </c>
      <c r="J43" s="38">
        <f>J42/D65</f>
        <v>10882550.93344242</v>
      </c>
      <c r="K43" s="38">
        <f>K42/D65</f>
        <v>12584862.130365437</v>
      </c>
      <c r="L43" s="37" t="s">
        <v>37</v>
      </c>
      <c r="M43" s="149">
        <f>K43</f>
        <v>12584862.130365437</v>
      </c>
      <c r="N43" s="156" t="s">
        <v>253</v>
      </c>
    </row>
    <row r="44" spans="2:13" ht="15">
      <c r="B44" s="90"/>
      <c r="C44" s="90"/>
      <c r="D44" s="39"/>
      <c r="E44" s="40"/>
      <c r="F44" s="40"/>
      <c r="G44" s="40"/>
      <c r="H44" s="40"/>
      <c r="I44" s="40"/>
      <c r="J44" s="40"/>
      <c r="K44" s="40"/>
      <c r="L44" s="36"/>
      <c r="M44" s="149"/>
    </row>
    <row r="45" spans="1:13" ht="15.75">
      <c r="A45" s="303" t="s">
        <v>355</v>
      </c>
      <c r="B45" s="90"/>
      <c r="C45" s="90"/>
      <c r="D45" s="39"/>
      <c r="E45" s="40"/>
      <c r="F45" s="40"/>
      <c r="G45" s="40"/>
      <c r="H45" s="40"/>
      <c r="I45" s="40"/>
      <c r="J45" s="40"/>
      <c r="K45" s="40"/>
      <c r="L45" s="14" t="s">
        <v>184</v>
      </c>
      <c r="M45" s="149"/>
    </row>
    <row r="46" spans="1:14" ht="15">
      <c r="A46" s="307" t="s">
        <v>353</v>
      </c>
      <c r="B46" s="91">
        <f>B42</f>
        <v>55538240.410159156</v>
      </c>
      <c r="C46" s="91">
        <f aca="true" t="shared" si="17" ref="C46:K46">C42</f>
        <v>42534035.76565563</v>
      </c>
      <c r="D46" s="71">
        <f t="shared" si="17"/>
        <v>29821798.160363987</v>
      </c>
      <c r="E46" s="71">
        <f t="shared" si="17"/>
        <v>34975038.065323666</v>
      </c>
      <c r="F46" s="71">
        <f t="shared" si="17"/>
        <v>40135185.39834325</v>
      </c>
      <c r="G46" s="71">
        <f t="shared" si="17"/>
        <v>48385713.058223605</v>
      </c>
      <c r="H46" s="71">
        <f t="shared" si="17"/>
        <v>61875384.9274545</v>
      </c>
      <c r="I46" s="71">
        <f t="shared" si="17"/>
        <v>75387849.74362992</v>
      </c>
      <c r="J46" s="71">
        <f t="shared" si="17"/>
        <v>90053108.97423603</v>
      </c>
      <c r="K46" s="71">
        <f t="shared" si="17"/>
        <v>104139734.128774</v>
      </c>
      <c r="L46" s="36" t="s">
        <v>36</v>
      </c>
      <c r="M46" s="150">
        <f>M42</f>
        <v>104139734.128774</v>
      </c>
      <c r="N46" s="156" t="s">
        <v>253</v>
      </c>
    </row>
    <row r="47" spans="1:14" ht="15">
      <c r="A47" s="307" t="s">
        <v>356</v>
      </c>
      <c r="B47" s="89">
        <f>B48/D65</f>
        <v>2375802.8405493908</v>
      </c>
      <c r="C47" s="89">
        <f>C48/D65</f>
        <v>4513660.441641732</v>
      </c>
      <c r="D47" s="40">
        <f>D48/D65</f>
        <v>6651518.042734074</v>
      </c>
      <c r="E47" s="40">
        <f>E48/D65</f>
        <v>8828130.32402224</v>
      </c>
      <c r="F47" s="40">
        <f>F48/D65</f>
        <v>8213817.099024349</v>
      </c>
      <c r="G47" s="40">
        <f>G48/D65</f>
        <v>8395437.298900656</v>
      </c>
      <c r="H47" s="40">
        <f>H48/D65</f>
        <v>10335375.212304357</v>
      </c>
      <c r="I47" s="40">
        <f>I48/D65</f>
        <v>10143904.449940408</v>
      </c>
      <c r="J47" s="40">
        <f>J48/D65</f>
        <v>9943186.429619912</v>
      </c>
      <c r="K47" s="40">
        <f>K48/D65</f>
        <v>6779265.390626487</v>
      </c>
      <c r="L47" s="34" t="s">
        <v>39</v>
      </c>
      <c r="M47" s="151">
        <f>K47</f>
        <v>6779265.390626487</v>
      </c>
      <c r="N47" s="156" t="s">
        <v>253</v>
      </c>
    </row>
    <row r="48" spans="1:14" ht="15">
      <c r="A48" s="307" t="s">
        <v>348</v>
      </c>
      <c r="B48" s="80">
        <f>'2005'!K48+B21-B37</f>
        <v>19659768.50554621</v>
      </c>
      <c r="C48" s="80">
        <f>B48+D21-D37</f>
        <v>37350540.15458533</v>
      </c>
      <c r="D48" s="35">
        <f aca="true" t="shared" si="18" ref="D48:K48">C48+D21-D37</f>
        <v>55041311.803624466</v>
      </c>
      <c r="E48" s="35">
        <f t="shared" si="18"/>
        <v>73052778.43128403</v>
      </c>
      <c r="F48" s="35">
        <f t="shared" si="18"/>
        <v>67969336.49442649</v>
      </c>
      <c r="G48" s="35">
        <f t="shared" si="18"/>
        <v>69472243.64840293</v>
      </c>
      <c r="H48" s="35">
        <f t="shared" si="18"/>
        <v>85525229.88181856</v>
      </c>
      <c r="I48" s="35">
        <f t="shared" si="18"/>
        <v>83940809.32325688</v>
      </c>
      <c r="J48" s="35">
        <f t="shared" si="18"/>
        <v>82279867.70510478</v>
      </c>
      <c r="K48" s="35">
        <f t="shared" si="18"/>
        <v>56098421.10743418</v>
      </c>
      <c r="L48" s="36" t="s">
        <v>40</v>
      </c>
      <c r="M48" s="148">
        <f>K48</f>
        <v>56098421.10743418</v>
      </c>
      <c r="N48" s="156" t="s">
        <v>253</v>
      </c>
    </row>
    <row r="49" spans="1:14" s="77" customFormat="1" ht="15">
      <c r="A49" s="311" t="s">
        <v>357</v>
      </c>
      <c r="B49" s="80">
        <f>(G92*12/365)*(B92*((1-E92)^7))*(C11-G89*C12)*(1+((1-G89)*(C89*((1+E89)^(F89-7)))))</f>
        <v>4807890.652720998</v>
      </c>
      <c r="C49" s="80">
        <f>(G92*12/365)*(B92*((1-E92)^8)*(D11-G89*D12)*(1+((1-G89)*(C89*((1+E89)^(F89-8))))))</f>
        <v>10735135.337750414</v>
      </c>
      <c r="D49" s="80">
        <f>(G92*12/365)*(B92*((1-E92)^9))*(E11-G89*E12)*(1+((1-G89)*(C89*((1+E89)^(F89-9)))))</f>
        <v>8629050.003625788</v>
      </c>
      <c r="E49" s="80">
        <f>(G92*12/365)*(B92*((1-E92)^10))*(F11-G89*F12)*(1+((1-G89)*(C89*((1+E89)^(F89-10)))))</f>
        <v>8670179.84610654</v>
      </c>
      <c r="F49" s="80">
        <f>(G92*12/365)*(B92*((1-E92)^11))*(G11-G89*G12)*(1+((1-G89)*(C89*((1+E89)^(F89-11)))))</f>
        <v>8711491.669691194</v>
      </c>
      <c r="G49" s="80">
        <f>(G92*12/365)*(B92*(1-E92)^12)*(H11-G89*H12)*(1+((1-G89)*(C89*((1+E89)^(F89-12)))))</f>
        <v>9847102.191855704</v>
      </c>
      <c r="H49" s="80">
        <f>(G92*12/365)*(B92*((1-E92)^13))*(I11-G89*I12)*(1+((1-G89)*(C89*((1+E89)^(F89-13)))))</f>
        <v>8794638.638289984</v>
      </c>
      <c r="I49" s="80">
        <f>(G92*12/365)*(B92*((1-E92)^14))*(J11-G89*J12)*(1+((1-G89)*(C89*((1+E89)^(F89-14)))))</f>
        <v>8836463.390936732</v>
      </c>
      <c r="J49" s="80">
        <f>(G92*12/365)*(B92*((1-E92)^15))*(K11-G89*K12)*(1+((1-G89)*(C89*((1+E89)^(F89-15)))))</f>
        <v>1358569.8492677659</v>
      </c>
      <c r="K49" s="80">
        <f>(G92*12/365)*(K17)*(B92*((1-E92)^15))*(K11-G89*K12)*(1+((1-G89)*(C89*((1+E89)^(F89-15)))))</f>
        <v>1192630.3180332705</v>
      </c>
      <c r="L49" s="79" t="s">
        <v>204</v>
      </c>
      <c r="M49" s="148">
        <f>K49</f>
        <v>1192630.3180332705</v>
      </c>
      <c r="N49" s="156" t="s">
        <v>253</v>
      </c>
    </row>
    <row r="50" spans="1:14" ht="15">
      <c r="A50" s="312" t="s">
        <v>358</v>
      </c>
      <c r="B50" s="72">
        <f>(100%-B17)*('2005'!K50+(IF(B8&gt;I80,(B6*B7*G80*F80*B80*((1+E80)^4)*B8+H80*(B8-I80)),(B6*B7*G80*F80*B80*((1+E80)^4))*B8)))</f>
        <v>0</v>
      </c>
      <c r="C50" s="72">
        <f>(100%-C17)*(B50+(IF(C8&gt;I80,(C6*C7*G80*F80*B80*((1+E80)^7))*(C8+H80*(C8-I80)),(C6*C7*G80*F80*B80*((1+E80)^7))*C8)))</f>
        <v>0</v>
      </c>
      <c r="D50" s="24">
        <f>(100%-D17)*(C50+(IF(D8&gt;I80,(D6*D7*G80*F80*B80*((1+E80)^8))*D8+(H80*(D8-I80)),(D7*G80*F80*B80*((1+E80)^8))*D8)))</f>
        <v>266700.75444177707</v>
      </c>
      <c r="E50" s="24">
        <f>(100%-E17)*(D50+(IF(E8&gt;I80,(E6*E7*G80*F80*B80*((1+E80)^9))*(E8+(H80*(E8-I80))),(E6*E7*G80*F80*B80*((1+E80)^9)*E8))))</f>
        <v>0</v>
      </c>
      <c r="F50" s="24">
        <f>(100%-F17)*(E50+(IF(F8&gt;I80,(F6*F7*G80*F80*B80*((1+E80)^10)*(F8+(H80*(F8-I80)))),(F6*F7*G80*F80*B80*(1+E80)^10)*F8)))</f>
        <v>357684.4744502248</v>
      </c>
      <c r="G50" s="24">
        <f>(100%-G17)*(F50+(IF(G8&gt;I80,(G6*G7*G80*F80*B80*((1+E80)^11)*(G8+(H80*(G8-I80)))),(G6*G7*G80*F80*B80*((1+E80)^11))*G8)))</f>
        <v>421415.734635402</v>
      </c>
      <c r="H50" s="24">
        <f>(100%-H17)*((G50)+(IF(H8&gt;I80,((H6*H7*G80*F80*B80*((1+E80)^12)*(H8+(H80*(H8-I80))))),((H6*H7*G80*F80*B80*((1+E80)^12))*H8))))</f>
        <v>0</v>
      </c>
      <c r="I50" s="24">
        <f>(100%-I17)*(H50+(IF(I8&gt;I80,(I6*I7*G80*F80*B80*((1+E80)^13)*(I8+(H80*(I8-I80)))),(I6*I7*G80*F80*B80*((1+E80)^13)*I8))))</f>
        <v>0</v>
      </c>
      <c r="J50" s="24">
        <f>(100%-J17)*(I50+(IF(J8&gt;I80,(J6*J7*G80*F80*B80*((1+E80)^14))*(J8+(H80*(J8-I80))),(J6*J7*G80*F80*B80*((1+E80)^14))*J8)))</f>
        <v>0</v>
      </c>
      <c r="K50" s="24">
        <f>(100%-K17)*(J50+(IF(K8&gt;I80,(K6*1.5*K7*G80*F80*B80*((1+E80)^15)*(K8+(H80*(K8-I80)))),(K6*1.5*K7*G80*F80*B80*((1+E80)^15))*K8)))</f>
        <v>145235.015928757</v>
      </c>
      <c r="L50" s="26" t="s">
        <v>203</v>
      </c>
      <c r="M50" s="142">
        <f>SUM(B50:K50)</f>
        <v>1191035.9794561607</v>
      </c>
      <c r="N50" s="156" t="s">
        <v>253</v>
      </c>
    </row>
    <row r="51" spans="1:14" ht="15">
      <c r="A51" s="312" t="s">
        <v>359</v>
      </c>
      <c r="B51" s="72">
        <f>(100%-B17)*('2005'!K51+(B92*((1-E92)^4))*(B11-G89*B12)*(1+((1-G89)*(C89*((1+E89)^(F89-4))))))</f>
        <v>0</v>
      </c>
      <c r="C51" s="72">
        <f>(100%-C17)*(B51+B92*((1-E92)^7)*(C11-G89*C12)*(1+((1-G89)*(C89*((1+E89)^(F89-7))))))</f>
        <v>0</v>
      </c>
      <c r="D51" s="24">
        <f>(100%-D17)*(C51+B92*((1-E92)^8)*(D11-G89*D12)*(1+((1-G89)*(C89*((1+E89)^(F89-8))))))</f>
        <v>4596088.448849374</v>
      </c>
      <c r="E51" s="27">
        <f>(100%-E17)*(D51+(B92*((1-E92)^9))*(E11-G89*E12)*(1+((1-G89)*(C89*((1+E89)^(F89-9))))))</f>
        <v>0</v>
      </c>
      <c r="F51" s="27">
        <f>(100%-F17)*(E51+(B92*((1-E92)^10))*(F11-G89*F12)*(1+(1-G89)*(C89*((1+E89)^(F89-10)))))</f>
        <v>6143617.836683024</v>
      </c>
      <c r="G51" s="27">
        <f>(100%-G17)*(F51+(B92*((1-E92)^11)*(G11-G89*G12)*(1+(1-G89)*(C89*((1+E89)^(F89-11))))))</f>
        <v>7229360.183845785</v>
      </c>
      <c r="H51" s="27">
        <f>(100%-H17)*(G51+(B92*(1-E92)^12)*(H11-G89*H12)*(1+((1-G89)*(C89*((1+E89)^(F89-12))))))</f>
        <v>0</v>
      </c>
      <c r="I51" s="27">
        <f>(100%-I17)*(H51+(B92*((1-E92)^13)*(I11-G89*I12)*(1+((1-G89)*(C89*((1+E89)^(F89-13)))))))</f>
        <v>0</v>
      </c>
      <c r="J51" s="27">
        <f>(100%-J17)*(I51+(B92*((1-E92)^14)*(J11-G89*J12)*(1+((1-G89)*C89*((1+E89)^(F89-14))))))</f>
        <v>0</v>
      </c>
      <c r="K51" s="27">
        <f>(100%-K17)*(J51+(B92*((1-E92)^15)*(K11-G89*K12)*(1+((1-G89)*(C89*((1+E89)^(F89-15)))))))</f>
        <v>336488.49389217066</v>
      </c>
      <c r="L51" s="26" t="s">
        <v>210</v>
      </c>
      <c r="M51" s="142">
        <f>SUM(B51:K51)</f>
        <v>18305554.963270355</v>
      </c>
      <c r="N51" s="156" t="s">
        <v>253</v>
      </c>
    </row>
    <row r="52" spans="1:14" s="22" customFormat="1" ht="15">
      <c r="A52" s="312" t="s">
        <v>360</v>
      </c>
      <c r="B52" s="72">
        <f>'2005'!K52+(B6-'2005'!K6)*B77-B30+H77</f>
        <v>8888888.64719705</v>
      </c>
      <c r="C52" s="72">
        <f>B52+(C6-B6)*B77-C30</f>
        <v>8666666.424974827</v>
      </c>
      <c r="D52" s="24">
        <f>C52+(D6-C6)*B77-D30</f>
        <v>8444444.202752605</v>
      </c>
      <c r="E52" s="24">
        <f>D52+(E6-D6)*B77-E30</f>
        <v>8222221.980530383</v>
      </c>
      <c r="F52" s="24">
        <f>E52+(F6-E6)*B77-F30</f>
        <v>7999999.758308161</v>
      </c>
      <c r="G52" s="24">
        <f>F52+(G6-F6)*B77-G30</f>
        <v>7777777.536085939</v>
      </c>
      <c r="H52" s="24">
        <f>G52+(H6-G6)*B77-H30</f>
        <v>7555555.313863717</v>
      </c>
      <c r="I52" s="24">
        <f>H52+(I6-H6)*B77-I30</f>
        <v>7333333.091641495</v>
      </c>
      <c r="J52" s="24">
        <f>I52+(J6-I6)*B77-J30</f>
        <v>7111110.869419273</v>
      </c>
      <c r="K52" s="24">
        <f>J52+(K6-J6)*B77-K30</f>
        <v>6888888.647197051</v>
      </c>
      <c r="L52" s="15" t="s">
        <v>41</v>
      </c>
      <c r="M52" s="138">
        <f>K52</f>
        <v>6888888.647197051</v>
      </c>
      <c r="N52" s="156" t="s">
        <v>253</v>
      </c>
    </row>
    <row r="53" spans="1:14" s="22" customFormat="1" ht="15">
      <c r="A53" s="313" t="s">
        <v>361</v>
      </c>
      <c r="B53" s="72">
        <f>IF('2005'!K53-(B21-B22-B23-B24-B26-B27-B28-B29-B30)*$E65&gt;0,('2005'!K53-(B21-B22-B23-B24-B26-B27-B28-B29-B30)*$E65),0)</f>
        <v>423259.7432269655</v>
      </c>
      <c r="C53" s="72">
        <f>IF(B53-(C21-C22-C23-C24-C26-C27-C28-C29-C30)*$E65&gt;0,(B53-(C21-C22-C23-C24-C26-C27-C28-C29-C30)*$E65),0)</f>
        <v>79493.01613569033</v>
      </c>
      <c r="D53" s="72">
        <f aca="true" t="shared" si="19" ref="D53:K53">IF(C53-(D21-D22-D23-D24-D26-D27-D28-D29-D30)*$E65&gt;0,(C53-(D21-D22-D23-D24-D26-D27-D28-D29-D30)*$E65),0)</f>
        <v>0</v>
      </c>
      <c r="E53" s="72">
        <f t="shared" si="19"/>
        <v>0</v>
      </c>
      <c r="F53" s="72">
        <f t="shared" si="19"/>
        <v>0</v>
      </c>
      <c r="G53" s="72">
        <f t="shared" si="19"/>
        <v>0</v>
      </c>
      <c r="H53" s="72">
        <f t="shared" si="19"/>
        <v>0</v>
      </c>
      <c r="I53" s="72">
        <f t="shared" si="19"/>
        <v>0</v>
      </c>
      <c r="J53" s="72">
        <f t="shared" si="19"/>
        <v>0</v>
      </c>
      <c r="K53" s="72">
        <f t="shared" si="19"/>
        <v>178620.0411748734</v>
      </c>
      <c r="L53" s="15" t="s">
        <v>260</v>
      </c>
      <c r="M53" s="138"/>
      <c r="N53" s="156" t="s">
        <v>253</v>
      </c>
    </row>
    <row r="54" spans="1:14" s="22" customFormat="1" ht="15.75">
      <c r="A54" s="314" t="s">
        <v>362</v>
      </c>
      <c r="B54" s="72">
        <f aca="true" t="shared" si="20" ref="B54:K54">B46+B48+B49+B50+B51+B52</f>
        <v>88894788.21562342</v>
      </c>
      <c r="C54" s="72">
        <f t="shared" si="20"/>
        <v>99286377.68296622</v>
      </c>
      <c r="D54" s="24">
        <f t="shared" si="20"/>
        <v>106799393.373658</v>
      </c>
      <c r="E54" s="24">
        <f t="shared" si="20"/>
        <v>124920218.32324462</v>
      </c>
      <c r="F54" s="24">
        <f t="shared" si="20"/>
        <v>131317315.63190234</v>
      </c>
      <c r="G54" s="24">
        <f t="shared" si="20"/>
        <v>143133612.35304934</v>
      </c>
      <c r="H54" s="24">
        <f t="shared" si="20"/>
        <v>163750808.76142678</v>
      </c>
      <c r="I54" s="24">
        <f t="shared" si="20"/>
        <v>175498455.549465</v>
      </c>
      <c r="J54" s="24">
        <f t="shared" si="20"/>
        <v>180802657.39802784</v>
      </c>
      <c r="K54" s="24">
        <f t="shared" si="20"/>
        <v>168801397.71125942</v>
      </c>
      <c r="L54" s="15" t="s">
        <v>185</v>
      </c>
      <c r="M54" s="138">
        <f>M46+M48+M49+M50+M51+M52</f>
        <v>187816265.14416504</v>
      </c>
      <c r="N54" s="156" t="s">
        <v>253</v>
      </c>
    </row>
    <row r="55" spans="1:14" s="46" customFormat="1" ht="15.75">
      <c r="A55" s="312" t="s">
        <v>363</v>
      </c>
      <c r="B55" s="84">
        <f>0</f>
        <v>0</v>
      </c>
      <c r="C55" s="84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f>0</f>
        <v>0</v>
      </c>
      <c r="L55" s="45" t="s">
        <v>42</v>
      </c>
      <c r="M55" s="138">
        <f>K55</f>
        <v>0</v>
      </c>
      <c r="N55" s="156" t="s">
        <v>253</v>
      </c>
    </row>
    <row r="56" spans="1:14" s="77" customFormat="1" ht="15.75">
      <c r="A56" s="312" t="s">
        <v>364</v>
      </c>
      <c r="B56" s="72">
        <f>'2005'!K56+((B92*((1-E92)^4))*(B11-G89*B12)*(1+((1-G89)*(C89*((1+E89)^(F89-4))))))-(B92*((1-E92)^6))*('2005'!K11-G89*'2005'!K12)*(1+((1-G89)*(C89*((1+E89)^(F89-6)))))+((B49-'2005'!K49)-('2005'!K49-'2005'!J49))</f>
        <v>9661124.295464233</v>
      </c>
      <c r="C56" s="72">
        <f>B56+((B92*((1-E92)^7))*(C11-G89*C12)*(1+((1-G89)*(C89*((1+E89)^(F89-7))))))-(B92*((1-E92)^4)*(B11-G89*B12)*(1+((1-G89)*(C89*((1+E89)^(F89-4))))))+((C49-B49)-(B49-'2005'!K49))</f>
        <v>15795064.468163999</v>
      </c>
      <c r="D56" s="72">
        <f>C56+((B92*((1-E92)^8))*(D11-G89*D12)*(1+((1-G89)*(C89*((1+E89)^(F89-8))))))-(B92*((1-E92)^7)*(C11-G89*C12)*(1+((1-G89)*(C89*((1+E89)^(F89-7))))))+((D49-C49)-(C49-B49))</f>
        <v>19780869.50476405</v>
      </c>
      <c r="E56" s="72">
        <f>D56+((B92*((1-E92)^9))*(E11-G89*E12)*(1+((1-G89)*(C89*((1+E89)^(F89-9))))))-(B92*((1-E92)^8)*(D11-G89*D12)*(1+((1-G89)*(C89*((1+E89)^(F89-8))))))+((E49-D49)-(D49-C49))</f>
        <v>17657411.64272783</v>
      </c>
      <c r="F56" s="72">
        <f>E56+((B92*((1-E92)^10))*(F11-G89*F12)*(1+((1-G89)*(C89*((1+E89)^(F89-10))))))-((B92*((1-E92)^9))*(E11-G89*E12)*(1+((1-G89)*(C89*((1+E89)^F89-9)))))+((F49-E49)-(E49-D49))</f>
        <v>18553294.183852427</v>
      </c>
      <c r="G56" s="72">
        <f>F56+((B92*((1-E92)^11))*(G11-G89*G12)*(1+((1-G89)*(C89*((1+E89)^(F89-11))))))-((B92*((1-E92)^10))*(F11-G89*F12)*(1+((1-G89)*(C89*((1+E89)^(F89-10))))))+((G49-F49)-(F49-E49))</f>
        <v>19731364.080256708</v>
      </c>
      <c r="H56" s="72">
        <f>G56+((B92*((1-E92)^12))*(H11-G89*H12)*(1+((1-G89)*(C89*((1+E89)^(F89-12))))))-((B92*((1-E92)^11))*(G11-G89*G12)*(1+((1-G89)*(C89*((1+E89)^(F89-11))))))+((H49-G49)-(G49-F49))</f>
        <v>19846055.78558229</v>
      </c>
      <c r="I56" s="72">
        <f>H56+((B92*((1-E92)^13))*(I11-G89*I12)*(1+((1-G89)*(C89*((1+E89)^(F89-13))))))-((B92*((1-E92)^12))*(H11-G89*H12)*(1+((1-G89)*(C89*((1+E89)^(F89-12))))))+((I49-H49)-(H49-G49))</f>
        <v>18806181.88595316</v>
      </c>
      <c r="J56" s="72">
        <f>I56+((B92*((1-E92)^14))*(J11-G89*J12)*(1+((1-G89)*(C89*((1+E89)^(F89-14))))))-((B92*((1-E92)^13))*(I11-G89*I12)*(1+((1-G89)*(C89*((1+E89)^(F89-13))))))+((J49-I49)-(I49-H49))</f>
        <v>11371274.895615574</v>
      </c>
      <c r="K56" s="72">
        <f>J56+((B92*((1-E92)^15))*(K11-G89*K12)*(1+((1-G89)*(C89*((1+E89)^(F89-15))))))-((B92*((1-E92)^14))*(J11-G89*J12)*(1+((1-G89)*(C89*((1+E89)^(F89-14))))))+((K49-J49)-(J49-I49))</f>
        <v>3519722.5576657504</v>
      </c>
      <c r="L56" s="75" t="s">
        <v>43</v>
      </c>
      <c r="M56" s="138">
        <f>K56</f>
        <v>3519722.5576657504</v>
      </c>
      <c r="N56" s="156" t="s">
        <v>253</v>
      </c>
    </row>
    <row r="57" spans="1:14" ht="15.75">
      <c r="A57" s="312" t="s">
        <v>365</v>
      </c>
      <c r="B57" s="85">
        <f>B56/D65</f>
        <v>1167507.4677298167</v>
      </c>
      <c r="C57" s="85">
        <f>C56/D65</f>
        <v>1908769.1200198184</v>
      </c>
      <c r="D57" s="29">
        <f>D56/D65</f>
        <v>2390437.4023884046</v>
      </c>
      <c r="E57" s="29">
        <f>E56/D65</f>
        <v>2133826.1803900697</v>
      </c>
      <c r="F57" s="29">
        <f>F56/D65</f>
        <v>2242089.9315833747</v>
      </c>
      <c r="G57" s="29">
        <f>G56/D65</f>
        <v>2384454.873747034</v>
      </c>
      <c r="H57" s="29">
        <f>H56/D65</f>
        <v>2398314.8985597934</v>
      </c>
      <c r="I57" s="29">
        <f>I56/D65</f>
        <v>2272650.3789671487</v>
      </c>
      <c r="J57" s="29">
        <f>J56/D65</f>
        <v>1374172.1928236343</v>
      </c>
      <c r="K57" s="29">
        <f>K56/D65</f>
        <v>425344.11573</v>
      </c>
      <c r="L57" s="12" t="s">
        <v>44</v>
      </c>
      <c r="M57" s="145">
        <f>K57</f>
        <v>425344.11573</v>
      </c>
      <c r="N57" s="156" t="s">
        <v>253</v>
      </c>
    </row>
    <row r="58" spans="1:14" ht="15">
      <c r="A58" s="312" t="s">
        <v>366</v>
      </c>
      <c r="B58" s="72">
        <f>B54-B55-B56</f>
        <v>79233663.92015919</v>
      </c>
      <c r="C58" s="72">
        <f aca="true" t="shared" si="21" ref="C58:K58">C54-C55-C56</f>
        <v>83491313.21480222</v>
      </c>
      <c r="D58" s="24">
        <f t="shared" si="21"/>
        <v>87018523.86889395</v>
      </c>
      <c r="E58" s="24">
        <f t="shared" si="21"/>
        <v>107262806.68051678</v>
      </c>
      <c r="F58" s="24">
        <f t="shared" si="21"/>
        <v>112764021.4480499</v>
      </c>
      <c r="G58" s="24">
        <f t="shared" si="21"/>
        <v>123402248.27279264</v>
      </c>
      <c r="H58" s="24">
        <f t="shared" si="21"/>
        <v>143904752.9758445</v>
      </c>
      <c r="I58" s="24">
        <f t="shared" si="21"/>
        <v>156692273.66351184</v>
      </c>
      <c r="J58" s="24">
        <f t="shared" si="21"/>
        <v>169431382.50241226</v>
      </c>
      <c r="K58" s="24">
        <f t="shared" si="21"/>
        <v>165281675.15359366</v>
      </c>
      <c r="L58" s="12" t="s">
        <v>45</v>
      </c>
      <c r="M58" s="138">
        <f>M54-M55-M56</f>
        <v>184296542.58649927</v>
      </c>
      <c r="N58" s="156" t="s">
        <v>253</v>
      </c>
    </row>
    <row r="59" spans="1:14" s="22" customFormat="1" ht="15.75">
      <c r="A59" s="314" t="s">
        <v>367</v>
      </c>
      <c r="B59" s="72">
        <f>B55+B56+B58</f>
        <v>88894788.21562342</v>
      </c>
      <c r="C59" s="72">
        <f>C55+C56+C58</f>
        <v>99286377.68296622</v>
      </c>
      <c r="D59" s="24">
        <f>D55+D56+D58</f>
        <v>106799393.373658</v>
      </c>
      <c r="E59" s="24">
        <f>E55+E56+E58</f>
        <v>124920218.3232446</v>
      </c>
      <c r="F59" s="24">
        <f aca="true" t="shared" si="22" ref="F59:K59">F55+F56+F58</f>
        <v>131317315.63190234</v>
      </c>
      <c r="G59" s="24">
        <f t="shared" si="22"/>
        <v>143133612.35304934</v>
      </c>
      <c r="H59" s="24">
        <f t="shared" si="22"/>
        <v>163750808.7614268</v>
      </c>
      <c r="I59" s="24">
        <f t="shared" si="22"/>
        <v>175498455.549465</v>
      </c>
      <c r="J59" s="24">
        <f t="shared" si="22"/>
        <v>180802657.39802784</v>
      </c>
      <c r="K59" s="24">
        <f t="shared" si="22"/>
        <v>168801397.71125942</v>
      </c>
      <c r="L59" s="15" t="s">
        <v>186</v>
      </c>
      <c r="M59" s="138">
        <f>M55+M56+M58</f>
        <v>187816265.14416504</v>
      </c>
      <c r="N59" s="156" t="s">
        <v>253</v>
      </c>
    </row>
    <row r="60" spans="1:14" ht="15">
      <c r="A60" s="312" t="s">
        <v>368</v>
      </c>
      <c r="B60" s="85">
        <f>B58/D65</f>
        <v>9575065.126303226</v>
      </c>
      <c r="C60" s="85">
        <f>C58/D65</f>
        <v>10089584.678525947</v>
      </c>
      <c r="D60" s="29">
        <f>D58/D65</f>
        <v>10515833.700168453</v>
      </c>
      <c r="E60" s="29">
        <f>E58/D65</f>
        <v>12962272.710636469</v>
      </c>
      <c r="F60" s="29">
        <f>F58/D65</f>
        <v>13627072.078314187</v>
      </c>
      <c r="G60" s="29">
        <f>G58/D65</f>
        <v>14912658.401545938</v>
      </c>
      <c r="H60" s="29">
        <f>H58/D65</f>
        <v>17390302.474422295</v>
      </c>
      <c r="I60" s="29">
        <f>I58/D65</f>
        <v>18935622.194986325</v>
      </c>
      <c r="J60" s="29">
        <f>J58/D65</f>
        <v>20475091.54107701</v>
      </c>
      <c r="K60" s="29">
        <f>K58/D65</f>
        <v>19973616.33276056</v>
      </c>
      <c r="L60" s="12" t="s">
        <v>46</v>
      </c>
      <c r="M60" s="145">
        <f>K60</f>
        <v>19973616.33276056</v>
      </c>
      <c r="N60" s="156" t="s">
        <v>253</v>
      </c>
    </row>
    <row r="61" spans="1:14" s="10" customFormat="1" ht="15">
      <c r="A61" s="307" t="s">
        <v>369</v>
      </c>
      <c r="B61" s="131">
        <f>((SUM('2005'!C33:'2005'!K33))+(SUM(B33:B33)))*J65</f>
        <v>81571198.26296565</v>
      </c>
      <c r="C61" s="131">
        <f>((SUM('2005'!D33:'2005'!K33))+(SUM(B33:C33)))*J65</f>
        <v>89833330.5515523</v>
      </c>
      <c r="D61" s="132">
        <f>((SUM('2005'!E33:'2005'!K33))+(SUM(B33:D33)))*J65</f>
        <v>100870504.30053873</v>
      </c>
      <c r="E61" s="132">
        <f>((SUM('2005'!F33:'2005'!K33))+(SUM(B33:E33)))*J65</f>
        <v>117598534.51083945</v>
      </c>
      <c r="F61" s="132">
        <f>((SUM('2005'!G33:'2005'!K33))+(SUM(B33:F33)))*J65</f>
        <v>114398432.52608603</v>
      </c>
      <c r="G61" s="132">
        <f>((SUM('2005'!H33:'2005'!K33))+(SUM(B33:G33)))*J65</f>
        <v>122609158.79680943</v>
      </c>
      <c r="H61" s="132">
        <f>((SUM('2005'!I33:'2005'!K33))+(SUM(B33:H33)))*J65</f>
        <v>146419791.28410572</v>
      </c>
      <c r="I61" s="132">
        <f>((SUM('2005'!J33:'2005'!K33))+(SUM(B33:I33)))*J65</f>
        <v>157207042.20830467</v>
      </c>
      <c r="J61" s="132">
        <f>((SUM('2005'!K33:'2005'!K33))+(SUM(B33:J33)))*J65</f>
        <v>168272988.52715552</v>
      </c>
      <c r="K61" s="29">
        <f>(SUM(B33:K33))*J65</f>
        <v>159545897.23386952</v>
      </c>
      <c r="L61" s="12" t="s">
        <v>47</v>
      </c>
      <c r="M61" s="145">
        <f>(SUM(B33:K33))*J65</f>
        <v>159545897.23386952</v>
      </c>
      <c r="N61" s="164" t="s">
        <v>287</v>
      </c>
    </row>
    <row r="62" spans="2:13" ht="15">
      <c r="B62" s="82"/>
      <c r="C62" s="82"/>
      <c r="D62" s="10"/>
      <c r="E62" s="42"/>
      <c r="M62" s="266"/>
    </row>
    <row r="63" spans="1:14" s="7" customFormat="1" ht="15.75">
      <c r="A63" s="7" t="s">
        <v>265</v>
      </c>
      <c r="B63" s="133"/>
      <c r="C63" s="133"/>
      <c r="E63" s="180"/>
      <c r="M63" s="200"/>
      <c r="N63" s="179"/>
    </row>
    <row r="65" spans="1:12" ht="15">
      <c r="A65" s="10" t="s">
        <v>49</v>
      </c>
      <c r="B65" s="96">
        <f>'2004'!B65</f>
        <v>3980</v>
      </c>
      <c r="C65" s="76">
        <f>'2004'!C65</f>
        <v>3600</v>
      </c>
      <c r="D65" s="44">
        <f>'2004'!D65</f>
        <v>8.275</v>
      </c>
      <c r="E65" s="62">
        <f>'2004'!E65</f>
        <v>0.075</v>
      </c>
      <c r="F65" s="59">
        <f>'2004'!F65</f>
        <v>0.18</v>
      </c>
      <c r="G65" s="60">
        <f>(1+F65)^(1/12)-1</f>
        <v>0.01388843034840992</v>
      </c>
      <c r="H65" s="48">
        <f>'2004'!H65</f>
        <v>0.03</v>
      </c>
      <c r="I65" s="60">
        <f>10^((1/12)*LOG(1+H65))-1</f>
        <v>0.0024662697723036864</v>
      </c>
      <c r="J65" s="66">
        <f>'2004'!J65</f>
        <v>15</v>
      </c>
      <c r="K65" s="59">
        <f>0.5</f>
        <v>0.5</v>
      </c>
      <c r="L65" s="12" t="s">
        <v>49</v>
      </c>
    </row>
    <row r="66" spans="2:14" s="73" customFormat="1" ht="15">
      <c r="B66" s="81" t="s">
        <v>50</v>
      </c>
      <c r="C66" s="81" t="s">
        <v>51</v>
      </c>
      <c r="D66" s="73" t="s">
        <v>383</v>
      </c>
      <c r="E66" s="73" t="s">
        <v>384</v>
      </c>
      <c r="F66" s="73" t="s">
        <v>385</v>
      </c>
      <c r="G66" s="16" t="s">
        <v>386</v>
      </c>
      <c r="H66" s="73" t="s">
        <v>387</v>
      </c>
      <c r="I66" s="16" t="s">
        <v>388</v>
      </c>
      <c r="J66" s="73" t="s">
        <v>389</v>
      </c>
      <c r="K66" s="73" t="s">
        <v>390</v>
      </c>
      <c r="M66" s="95"/>
      <c r="N66" s="156"/>
    </row>
    <row r="67" spans="1:13" ht="15">
      <c r="A67" s="10"/>
      <c r="B67" s="82"/>
      <c r="C67" s="82"/>
      <c r="D67" s="10"/>
      <c r="E67" s="10"/>
      <c r="F67" s="10"/>
      <c r="G67" s="10"/>
      <c r="H67" s="10"/>
      <c r="I67" s="10"/>
      <c r="J67" s="10"/>
      <c r="K67" s="10"/>
      <c r="M67" s="202"/>
    </row>
    <row r="68" spans="1:13" ht="15">
      <c r="A68" s="10" t="s">
        <v>58</v>
      </c>
      <c r="B68" s="96">
        <f>'2004'!B68</f>
        <v>3600</v>
      </c>
      <c r="C68" s="76">
        <f>'2004'!C68</f>
        <v>3400</v>
      </c>
      <c r="D68" s="47">
        <f>begin_price</f>
        <v>3600</v>
      </c>
      <c r="E68" s="27">
        <f>3500</f>
        <v>3500</v>
      </c>
      <c r="F68" s="64">
        <v>3400</v>
      </c>
      <c r="G68" s="10"/>
      <c r="H68" s="10"/>
      <c r="I68" s="10"/>
      <c r="J68" s="10"/>
      <c r="K68" s="93">
        <v>0.6</v>
      </c>
      <c r="L68" s="12" t="s">
        <v>58</v>
      </c>
      <c r="M68" s="202"/>
    </row>
    <row r="69" spans="1:14" s="73" customFormat="1" ht="15">
      <c r="A69" s="10" t="s">
        <v>59</v>
      </c>
      <c r="B69" s="81" t="s">
        <v>60</v>
      </c>
      <c r="C69" s="81" t="s">
        <v>61</v>
      </c>
      <c r="D69" s="16" t="s">
        <v>381</v>
      </c>
      <c r="E69" s="19" t="s">
        <v>379</v>
      </c>
      <c r="F69" s="73" t="s">
        <v>382</v>
      </c>
      <c r="K69" s="95" t="s">
        <v>391</v>
      </c>
      <c r="L69" s="16" t="s">
        <v>59</v>
      </c>
      <c r="M69" s="203"/>
      <c r="N69" s="156"/>
    </row>
    <row r="70" spans="1:13" ht="15">
      <c r="A70" s="10"/>
      <c r="B70" s="82"/>
      <c r="C70" s="82"/>
      <c r="D70" s="10"/>
      <c r="E70" s="20"/>
      <c r="F70" s="10"/>
      <c r="G70" s="10"/>
      <c r="H70" s="10"/>
      <c r="I70" s="10"/>
      <c r="J70" s="10"/>
      <c r="K70" s="10"/>
      <c r="M70" s="202"/>
    </row>
    <row r="71" spans="1:14" s="8" customFormat="1" ht="15.75">
      <c r="A71" s="10" t="s">
        <v>62</v>
      </c>
      <c r="B71" s="267">
        <f>30%</f>
        <v>0.3</v>
      </c>
      <c r="C71" s="267">
        <f>20%</f>
        <v>0.2</v>
      </c>
      <c r="D71" s="121">
        <f>20%</f>
        <v>0.2</v>
      </c>
      <c r="E71" s="48">
        <f>1-B71-C71-D71-F71-G71</f>
        <v>0.17499999999999993</v>
      </c>
      <c r="F71" s="120">
        <v>0.1</v>
      </c>
      <c r="G71" s="120">
        <f>2.5%</f>
        <v>0.025</v>
      </c>
      <c r="H71" s="16" t="s">
        <v>63</v>
      </c>
      <c r="I71" s="16" t="s">
        <v>64</v>
      </c>
      <c r="J71" s="16" t="s">
        <v>63</v>
      </c>
      <c r="K71" s="268"/>
      <c r="L71" s="12" t="s">
        <v>62</v>
      </c>
      <c r="M71" s="173"/>
      <c r="N71" s="179"/>
    </row>
    <row r="72" spans="1:14" s="73" customFormat="1" ht="15">
      <c r="A72" s="16" t="s">
        <v>65</v>
      </c>
      <c r="B72" s="95" t="s">
        <v>66</v>
      </c>
      <c r="C72" s="95" t="s">
        <v>67</v>
      </c>
      <c r="D72" s="73" t="s">
        <v>68</v>
      </c>
      <c r="E72" s="16" t="s">
        <v>69</v>
      </c>
      <c r="F72" s="73" t="s">
        <v>70</v>
      </c>
      <c r="G72" s="73" t="s">
        <v>71</v>
      </c>
      <c r="H72" s="16" t="s">
        <v>72</v>
      </c>
      <c r="I72" s="16" t="s">
        <v>73</v>
      </c>
      <c r="J72" s="16" t="s">
        <v>74</v>
      </c>
      <c r="L72" s="16" t="s">
        <v>65</v>
      </c>
      <c r="M72" s="203"/>
      <c r="N72" s="156"/>
    </row>
    <row r="73" spans="1:13" ht="15">
      <c r="A73" s="10"/>
      <c r="B73" s="82"/>
      <c r="C73" s="82"/>
      <c r="D73" s="10"/>
      <c r="E73" s="10"/>
      <c r="F73" s="10"/>
      <c r="G73" s="10"/>
      <c r="H73" s="10"/>
      <c r="I73" s="10"/>
      <c r="J73" s="10"/>
      <c r="K73" s="10"/>
      <c r="M73" s="202"/>
    </row>
    <row r="74" spans="1:13" ht="15">
      <c r="A74" s="10" t="s">
        <v>75</v>
      </c>
      <c r="B74" s="94">
        <f>'2004'!B74</f>
        <v>1</v>
      </c>
      <c r="C74" s="93">
        <f>'2004'!C74</f>
        <v>0.04</v>
      </c>
      <c r="D74" s="62">
        <f>5%</f>
        <v>0.05</v>
      </c>
      <c r="E74" s="62">
        <v>0.025</v>
      </c>
      <c r="F74" s="62">
        <f>3%</f>
        <v>0.03</v>
      </c>
      <c r="G74" s="29">
        <f>'2004'!G74</f>
        <v>1000000</v>
      </c>
      <c r="H74" s="25">
        <f>'2004'!H74</f>
        <v>0.06</v>
      </c>
      <c r="I74" s="10"/>
      <c r="J74" s="10"/>
      <c r="K74" s="10"/>
      <c r="L74" s="12" t="s">
        <v>75</v>
      </c>
      <c r="M74" s="202"/>
    </row>
    <row r="75" spans="1:14" s="73" customFormat="1" ht="15">
      <c r="A75" s="10" t="s">
        <v>59</v>
      </c>
      <c r="B75" s="95" t="s">
        <v>76</v>
      </c>
      <c r="C75" s="95" t="s">
        <v>77</v>
      </c>
      <c r="D75" s="73" t="s">
        <v>200</v>
      </c>
      <c r="E75" s="73" t="s">
        <v>201</v>
      </c>
      <c r="F75" s="73" t="s">
        <v>202</v>
      </c>
      <c r="G75" s="242" t="str">
        <f>'2004'!G75</f>
        <v>investment</v>
      </c>
      <c r="H75" s="242" t="str">
        <f>'2004'!H75</f>
        <v>financing costs</v>
      </c>
      <c r="L75" s="45" t="s">
        <v>59</v>
      </c>
      <c r="M75" s="203"/>
      <c r="N75" s="156"/>
    </row>
    <row r="76" spans="1:13" ht="15">
      <c r="A76" s="10"/>
      <c r="B76" s="96"/>
      <c r="C76" s="76"/>
      <c r="D76" s="47"/>
      <c r="E76" s="27"/>
      <c r="F76" s="49"/>
      <c r="G76" s="49"/>
      <c r="H76" s="50"/>
      <c r="I76" s="10"/>
      <c r="J76" s="10"/>
      <c r="K76" s="10"/>
      <c r="L76" s="18"/>
      <c r="M76" s="202"/>
    </row>
    <row r="77" spans="1:13" ht="15">
      <c r="A77" s="10" t="s">
        <v>80</v>
      </c>
      <c r="B77" s="96">
        <f>'2004'!B77</f>
        <v>4000000</v>
      </c>
      <c r="C77" s="85">
        <f>B77/D65</f>
        <v>483383.68580060423</v>
      </c>
      <c r="D77" s="10">
        <f>'2004'!D77</f>
        <v>2</v>
      </c>
      <c r="E77" s="10">
        <f>'2004'!E77</f>
        <v>36</v>
      </c>
      <c r="F77" s="27">
        <f>'2004'!F77</f>
        <v>2000000</v>
      </c>
      <c r="G77" s="47">
        <f>'2005'!G77</f>
        <v>2000000</v>
      </c>
      <c r="H77" s="63">
        <v>2000000</v>
      </c>
      <c r="I77" s="10"/>
      <c r="J77" s="10"/>
      <c r="K77" s="10"/>
      <c r="L77" s="12" t="s">
        <v>80</v>
      </c>
      <c r="M77" s="202"/>
    </row>
    <row r="78" spans="2:14" s="73" customFormat="1" ht="15">
      <c r="B78" s="95" t="s">
        <v>81</v>
      </c>
      <c r="C78" s="81" t="s">
        <v>82</v>
      </c>
      <c r="D78" s="73" t="s">
        <v>83</v>
      </c>
      <c r="E78" s="44" t="s">
        <v>85</v>
      </c>
      <c r="F78" s="73" t="s">
        <v>86</v>
      </c>
      <c r="G78" s="73" t="s">
        <v>403</v>
      </c>
      <c r="H78" s="73" t="s">
        <v>401</v>
      </c>
      <c r="M78" s="203"/>
      <c r="N78" s="156"/>
    </row>
    <row r="79" spans="1:13" ht="15">
      <c r="A79" s="10"/>
      <c r="B79" s="82"/>
      <c r="C79" s="239"/>
      <c r="D79" s="10"/>
      <c r="E79" s="10"/>
      <c r="F79" s="10"/>
      <c r="G79" s="10"/>
      <c r="H79" s="10"/>
      <c r="I79" s="10"/>
      <c r="J79" s="10"/>
      <c r="K79" s="10"/>
      <c r="M79" s="202"/>
    </row>
    <row r="80" spans="1:13" ht="15">
      <c r="A80" s="10" t="s">
        <v>87</v>
      </c>
      <c r="B80" s="106">
        <f>'2004'!B80</f>
        <v>20</v>
      </c>
      <c r="C80" s="106">
        <f>B80*((1+E80)^32)</f>
        <v>24.556134886930696</v>
      </c>
      <c r="D80" s="25">
        <f>'2004'!D80</f>
        <v>0.08</v>
      </c>
      <c r="E80" s="60">
        <f>((1+D80)^(1/12))-1</f>
        <v>0.00643403011000343</v>
      </c>
      <c r="F80" s="24">
        <f>'2004'!F80</f>
        <v>75</v>
      </c>
      <c r="G80" s="108">
        <f>'2004'!G80</f>
        <v>4</v>
      </c>
      <c r="H80" s="25">
        <f>'2004'!H80</f>
        <v>0</v>
      </c>
      <c r="I80" s="24">
        <f>'2004'!I80</f>
        <v>40</v>
      </c>
      <c r="J80" s="10"/>
      <c r="K80" s="10"/>
      <c r="L80" s="18" t="s">
        <v>87</v>
      </c>
      <c r="M80" s="204"/>
    </row>
    <row r="81" spans="2:14" s="73" customFormat="1" ht="15">
      <c r="B81" s="95" t="s">
        <v>88</v>
      </c>
      <c r="C81" s="81" t="s">
        <v>89</v>
      </c>
      <c r="D81" s="73" t="s">
        <v>90</v>
      </c>
      <c r="E81" s="16" t="s">
        <v>91</v>
      </c>
      <c r="F81" s="73" t="s">
        <v>92</v>
      </c>
      <c r="G81" s="73" t="s">
        <v>93</v>
      </c>
      <c r="H81" s="73" t="s">
        <v>94</v>
      </c>
      <c r="I81" s="107" t="s">
        <v>288</v>
      </c>
      <c r="M81" s="203"/>
      <c r="N81" s="156"/>
    </row>
    <row r="82" spans="1:13" ht="15">
      <c r="A82" s="10"/>
      <c r="B82" s="82"/>
      <c r="C82" s="239"/>
      <c r="D82" s="10"/>
      <c r="E82" s="10"/>
      <c r="F82" s="10"/>
      <c r="G82" s="10"/>
      <c r="H82" s="10"/>
      <c r="I82" s="10"/>
      <c r="J82" s="10"/>
      <c r="K82" s="10"/>
      <c r="M82" s="202"/>
    </row>
    <row r="83" spans="1:13" ht="15">
      <c r="A83" s="10" t="s">
        <v>95</v>
      </c>
      <c r="B83" s="82">
        <f>'2004'!B83</f>
        <v>16</v>
      </c>
      <c r="C83" s="82">
        <f>'2004'!C83</f>
        <v>20</v>
      </c>
      <c r="D83" s="25">
        <f>-1+(1+E83)^12</f>
        <v>0.1180339887498969</v>
      </c>
      <c r="E83" s="25">
        <f>10^((1/F83)*LOG(C83/B83))-1</f>
        <v>0.009341005370091082</v>
      </c>
      <c r="F83" s="24">
        <f>'2004'!F83</f>
        <v>24</v>
      </c>
      <c r="G83" s="10"/>
      <c r="H83" s="10"/>
      <c r="I83" s="10"/>
      <c r="J83" s="10"/>
      <c r="K83" s="10"/>
      <c r="L83" s="12" t="s">
        <v>95</v>
      </c>
      <c r="M83" s="202"/>
    </row>
    <row r="84" spans="1:14" s="46" customFormat="1" ht="15">
      <c r="A84" s="10" t="s">
        <v>96</v>
      </c>
      <c r="B84" s="239" t="s">
        <v>97</v>
      </c>
      <c r="C84" s="239" t="s">
        <v>98</v>
      </c>
      <c r="D84" s="10" t="s">
        <v>99</v>
      </c>
      <c r="E84" s="10" t="s">
        <v>100</v>
      </c>
      <c r="F84" s="44" t="s">
        <v>208</v>
      </c>
      <c r="G84" s="44"/>
      <c r="H84" s="44"/>
      <c r="I84" s="44"/>
      <c r="J84" s="44"/>
      <c r="K84" s="44"/>
      <c r="L84" s="45" t="s">
        <v>96</v>
      </c>
      <c r="M84" s="202"/>
      <c r="N84" s="156"/>
    </row>
    <row r="85" spans="1:13" ht="15">
      <c r="A85" s="10"/>
      <c r="B85" s="82"/>
      <c r="C85" s="239"/>
      <c r="D85" s="10"/>
      <c r="E85" s="10"/>
      <c r="F85" s="10"/>
      <c r="G85" s="10"/>
      <c r="H85" s="10"/>
      <c r="I85" s="10"/>
      <c r="J85" s="10"/>
      <c r="K85" s="10"/>
      <c r="M85" s="202"/>
    </row>
    <row r="86" spans="1:13" ht="15">
      <c r="A86" s="10" t="s">
        <v>101</v>
      </c>
      <c r="B86" s="109">
        <f>'2004'!B86</f>
        <v>0.05</v>
      </c>
      <c r="C86" s="109">
        <f>'2004'!C86</f>
        <v>0.025</v>
      </c>
      <c r="D86" s="25">
        <f>-1+(1+E86)^12</f>
        <v>0.400521241759376</v>
      </c>
      <c r="E86" s="25">
        <f>1-10^(-(1/F86)*LOG(B86/C86))</f>
        <v>0.02846805884639414</v>
      </c>
      <c r="F86" s="24">
        <f>'2004'!F86</f>
        <v>24</v>
      </c>
      <c r="G86" s="10"/>
      <c r="H86" s="10"/>
      <c r="I86" s="10"/>
      <c r="J86" s="10"/>
      <c r="K86" s="10"/>
      <c r="L86" s="12" t="s">
        <v>101</v>
      </c>
      <c r="M86" s="202"/>
    </row>
    <row r="87" spans="1:13" ht="15">
      <c r="A87" s="10" t="s">
        <v>102</v>
      </c>
      <c r="B87" s="239" t="s">
        <v>103</v>
      </c>
      <c r="C87" s="239" t="s">
        <v>104</v>
      </c>
      <c r="D87" s="10" t="s">
        <v>105</v>
      </c>
      <c r="E87" s="10" t="s">
        <v>106</v>
      </c>
      <c r="F87" s="44" t="s">
        <v>208</v>
      </c>
      <c r="G87" s="10"/>
      <c r="H87" s="10"/>
      <c r="I87" s="10"/>
      <c r="J87" s="10"/>
      <c r="K87" s="10"/>
      <c r="L87" s="12" t="s">
        <v>102</v>
      </c>
      <c r="M87" s="202"/>
    </row>
    <row r="88" spans="1:13" ht="15">
      <c r="A88" s="10"/>
      <c r="B88" s="82"/>
      <c r="C88" s="239"/>
      <c r="D88" s="10"/>
      <c r="E88" s="10"/>
      <c r="F88" s="10"/>
      <c r="G88" s="10"/>
      <c r="H88" s="10"/>
      <c r="I88" s="10"/>
      <c r="J88" s="10"/>
      <c r="K88" s="10"/>
      <c r="M88" s="202"/>
    </row>
    <row r="89" spans="1:13" ht="15">
      <c r="A89" s="10" t="s">
        <v>107</v>
      </c>
      <c r="B89" s="109">
        <f>'2004'!B89</f>
        <v>0.05</v>
      </c>
      <c r="C89" s="240">
        <f>'2004'!C89</f>
        <v>0.01</v>
      </c>
      <c r="D89" s="50">
        <f>-1+(1+E89)^12</f>
        <v>1.1257599138147394</v>
      </c>
      <c r="E89" s="50">
        <f>1-10^(-(1/F89)*LOG(B89/C89))</f>
        <v>0.06486082735179577</v>
      </c>
      <c r="F89" s="24">
        <f>'2004'!F89</f>
        <v>24</v>
      </c>
      <c r="G89" s="49">
        <f>'2004'!G89</f>
        <v>0.33</v>
      </c>
      <c r="H89" s="32"/>
      <c r="I89" s="10"/>
      <c r="J89" s="10"/>
      <c r="K89" s="10"/>
      <c r="L89" s="12" t="s">
        <v>107</v>
      </c>
      <c r="M89" s="202"/>
    </row>
    <row r="90" spans="1:13" ht="15">
      <c r="A90" s="10" t="s">
        <v>108</v>
      </c>
      <c r="B90" s="239" t="s">
        <v>109</v>
      </c>
      <c r="C90" s="239" t="s">
        <v>110</v>
      </c>
      <c r="D90" s="10" t="s">
        <v>111</v>
      </c>
      <c r="E90" s="10" t="s">
        <v>112</v>
      </c>
      <c r="F90" s="44" t="s">
        <v>208</v>
      </c>
      <c r="G90" s="44" t="s">
        <v>84</v>
      </c>
      <c r="H90" s="12"/>
      <c r="I90" s="10"/>
      <c r="J90" s="10"/>
      <c r="K90" s="10"/>
      <c r="L90" s="12" t="s">
        <v>108</v>
      </c>
      <c r="M90" s="202"/>
    </row>
    <row r="91" spans="1:13" ht="15">
      <c r="A91" s="10"/>
      <c r="B91" s="82"/>
      <c r="C91" s="239"/>
      <c r="D91" s="10"/>
      <c r="E91" s="10"/>
      <c r="F91" s="10"/>
      <c r="G91" s="10"/>
      <c r="H91" s="12"/>
      <c r="I91" s="10"/>
      <c r="J91" s="10"/>
      <c r="K91" s="10"/>
      <c r="M91" s="202"/>
    </row>
    <row r="92" spans="1:13" ht="15">
      <c r="A92" s="10" t="s">
        <v>113</v>
      </c>
      <c r="B92" s="96">
        <f>'2004'!B92</f>
        <v>1700</v>
      </c>
      <c r="C92" s="241">
        <f>'2004'!C92</f>
        <v>1500</v>
      </c>
      <c r="D92" s="50">
        <f>-1+(1+E92)^12</f>
        <v>0.06423570420608771</v>
      </c>
      <c r="E92" s="25">
        <f>1-10^(-(1/F92)*LOG(B92/C92))</f>
        <v>0.0052015557700146875</v>
      </c>
      <c r="F92" s="24">
        <f>'2004'!F92</f>
        <v>24</v>
      </c>
      <c r="G92" s="24">
        <f>'2004'!G92</f>
        <v>15</v>
      </c>
      <c r="H92" s="12"/>
      <c r="I92" s="10"/>
      <c r="J92" s="10"/>
      <c r="K92" s="10"/>
      <c r="L92" s="12" t="s">
        <v>113</v>
      </c>
      <c r="M92" s="202"/>
    </row>
    <row r="93" spans="1:13" ht="15">
      <c r="A93" s="10" t="s">
        <v>114</v>
      </c>
      <c r="B93" s="239" t="s">
        <v>115</v>
      </c>
      <c r="C93" s="239" t="s">
        <v>116</v>
      </c>
      <c r="D93" s="10" t="s">
        <v>117</v>
      </c>
      <c r="E93" s="10" t="s">
        <v>118</v>
      </c>
      <c r="F93" s="44" t="s">
        <v>208</v>
      </c>
      <c r="G93" s="44" t="s">
        <v>196</v>
      </c>
      <c r="H93" s="12"/>
      <c r="I93" s="10"/>
      <c r="J93" s="10"/>
      <c r="K93" s="10"/>
      <c r="L93" s="12" t="s">
        <v>114</v>
      </c>
      <c r="M93" s="202"/>
    </row>
    <row r="94" spans="1:13" ht="15">
      <c r="A94" s="10"/>
      <c r="B94" s="82"/>
      <c r="C94" s="82"/>
      <c r="D94" s="10"/>
      <c r="E94" s="10"/>
      <c r="F94" s="10"/>
      <c r="G94" s="10"/>
      <c r="H94" s="10"/>
      <c r="I94" s="10"/>
      <c r="J94" s="10"/>
      <c r="K94" s="12"/>
      <c r="M94" s="202"/>
    </row>
    <row r="95" spans="2:4" ht="15">
      <c r="B95" s="82"/>
      <c r="C95" s="82"/>
      <c r="D95" s="10"/>
    </row>
    <row r="96" spans="2:13" ht="15">
      <c r="B96" s="82"/>
      <c r="C96" s="94"/>
      <c r="D96" s="59"/>
      <c r="E96" s="62"/>
      <c r="F96" s="62"/>
      <c r="G96" s="62"/>
      <c r="M96" s="212"/>
    </row>
    <row r="97" spans="2:13" ht="15">
      <c r="B97" s="10"/>
      <c r="C97" s="10"/>
      <c r="D97" s="10"/>
      <c r="L97"/>
      <c r="M97" s="209"/>
    </row>
    <row r="98" spans="1:13" ht="15.75">
      <c r="A98" s="7" t="s">
        <v>119</v>
      </c>
      <c r="B98" s="10"/>
      <c r="C98" s="10"/>
      <c r="D98" s="10"/>
      <c r="E98" s="16" t="s">
        <v>277</v>
      </c>
      <c r="F98" s="10" t="s">
        <v>276</v>
      </c>
      <c r="G98" s="12" t="s">
        <v>275</v>
      </c>
      <c r="H98" s="16" t="s">
        <v>278</v>
      </c>
      <c r="L98" t="s">
        <v>119</v>
      </c>
      <c r="M98" s="209"/>
    </row>
    <row r="99" spans="1:13" ht="15">
      <c r="A99" s="16"/>
      <c r="B99" s="10"/>
      <c r="C99" s="10"/>
      <c r="D99" s="10"/>
      <c r="L99" t="s">
        <v>120</v>
      </c>
      <c r="M99" s="209"/>
    </row>
    <row r="100" spans="1:13" ht="15">
      <c r="A100" s="10" t="s">
        <v>315</v>
      </c>
      <c r="B100" s="16" t="s">
        <v>16</v>
      </c>
      <c r="C100" s="16" t="s">
        <v>121</v>
      </c>
      <c r="D100" s="16" t="s">
        <v>122</v>
      </c>
      <c r="E100" s="16" t="s">
        <v>123</v>
      </c>
      <c r="F100" s="190"/>
      <c r="G100" s="16" t="s">
        <v>16</v>
      </c>
      <c r="H100" s="16" t="s">
        <v>121</v>
      </c>
      <c r="I100" s="16" t="s">
        <v>122</v>
      </c>
      <c r="J100" s="16" t="s">
        <v>123</v>
      </c>
      <c r="L100" t="s">
        <v>315</v>
      </c>
      <c r="M100" s="209"/>
    </row>
    <row r="101" spans="1:13" ht="15">
      <c r="A101" s="10" t="s">
        <v>273</v>
      </c>
      <c r="B101" s="30">
        <f>M21</f>
        <v>315342351.1406617</v>
      </c>
      <c r="C101" s="30">
        <f>M25</f>
        <v>146220652.28764197</v>
      </c>
      <c r="D101" s="30">
        <f>M24+M26+M27+M28</f>
        <v>56227667.89045571</v>
      </c>
      <c r="E101" s="43">
        <f>M32</f>
        <v>88016153.30735135</v>
      </c>
      <c r="F101" s="191"/>
      <c r="G101" s="51">
        <f>ROUNDDOWN(B101,-7)</f>
        <v>310000000</v>
      </c>
      <c r="H101" s="51">
        <f>ROUNDDOWN(C101,-7)</f>
        <v>140000000</v>
      </c>
      <c r="I101" s="51">
        <f>ROUNDDOWN(D101,-6)</f>
        <v>56000000</v>
      </c>
      <c r="J101" s="51">
        <f>ROUNDDOWN(E101,-6)</f>
        <v>88000000</v>
      </c>
      <c r="L101" t="s">
        <v>273</v>
      </c>
      <c r="M101" s="209"/>
    </row>
    <row r="102" spans="1:13" ht="15">
      <c r="A102" s="10" t="s">
        <v>274</v>
      </c>
      <c r="B102" s="52">
        <f>M20</f>
        <v>38107836.99585036</v>
      </c>
      <c r="C102" s="29">
        <f>C101/D65</f>
        <v>17670169.46074223</v>
      </c>
      <c r="D102" s="29">
        <f>D101/D65</f>
        <v>6794884.337215191</v>
      </c>
      <c r="E102" s="53">
        <f>E101/D65</f>
        <v>10636393.148924634</v>
      </c>
      <c r="F102" s="191"/>
      <c r="G102" s="181">
        <f>ROUNDDOWN(B102,-6)</f>
        <v>38000000</v>
      </c>
      <c r="H102" s="53">
        <f>ROUNDDOWN(C102,-6)</f>
        <v>17000000</v>
      </c>
      <c r="I102" s="53">
        <f>ROUNDDOWN(D102,-5)</f>
        <v>6700000</v>
      </c>
      <c r="J102" s="53">
        <f>ROUNDDOWN(E102,-6)</f>
        <v>10000000</v>
      </c>
      <c r="L102" t="s">
        <v>274</v>
      </c>
      <c r="M102" s="209"/>
    </row>
    <row r="103" spans="1:13" ht="15">
      <c r="A103" s="10" t="s">
        <v>271</v>
      </c>
      <c r="B103" s="10"/>
      <c r="C103" s="25">
        <f>N25</f>
        <v>0.46368859672267343</v>
      </c>
      <c r="D103" s="25">
        <f>D101/M21</f>
        <v>0.17830674404204838</v>
      </c>
      <c r="E103" s="17">
        <f>E101/B101</f>
        <v>0.27911301158559204</v>
      </c>
      <c r="F103" s="191"/>
      <c r="H103" s="54">
        <f>C101/B101</f>
        <v>0.46368859672267343</v>
      </c>
      <c r="I103" s="54">
        <f>D101/B101</f>
        <v>0.17830674404204838</v>
      </c>
      <c r="J103" s="54">
        <f>E101/B101</f>
        <v>0.27911301158559204</v>
      </c>
      <c r="L103" t="s">
        <v>271</v>
      </c>
      <c r="M103" s="209"/>
    </row>
    <row r="104" spans="1:13" ht="15">
      <c r="A104" s="10"/>
      <c r="B104" s="10"/>
      <c r="C104" s="10"/>
      <c r="D104" s="10"/>
      <c r="F104" s="191"/>
      <c r="L104"/>
      <c r="M104" s="209"/>
    </row>
    <row r="105" spans="1:13" ht="15">
      <c r="A105" s="10" t="s">
        <v>316</v>
      </c>
      <c r="B105" s="16" t="s">
        <v>279</v>
      </c>
      <c r="C105" s="16" t="s">
        <v>124</v>
      </c>
      <c r="D105" s="16" t="s">
        <v>40</v>
      </c>
      <c r="E105" s="16" t="s">
        <v>43</v>
      </c>
      <c r="F105" s="190" t="s">
        <v>125</v>
      </c>
      <c r="G105" s="16" t="s">
        <v>279</v>
      </c>
      <c r="H105" s="16" t="s">
        <v>124</v>
      </c>
      <c r="I105" s="16" t="s">
        <v>40</v>
      </c>
      <c r="J105" s="16" t="s">
        <v>43</v>
      </c>
      <c r="K105" s="211" t="s">
        <v>125</v>
      </c>
      <c r="L105" t="s">
        <v>316</v>
      </c>
      <c r="M105" s="209"/>
    </row>
    <row r="106" spans="1:13" ht="15">
      <c r="A106" s="31" t="s">
        <v>273</v>
      </c>
      <c r="B106" s="43">
        <f>D42</f>
        <v>29821798.160363987</v>
      </c>
      <c r="C106" s="30">
        <f>M42</f>
        <v>104139734.128774</v>
      </c>
      <c r="D106" s="27">
        <f>(SUM(E48:K48))/7</f>
        <v>74048383.79881826</v>
      </c>
      <c r="E106" s="28">
        <f>(SUM(E56:K56))/7</f>
        <v>15640757.86166482</v>
      </c>
      <c r="F106" s="192">
        <f>M58</f>
        <v>184296542.58649927</v>
      </c>
      <c r="G106" s="47">
        <f>ROUNDDOWN(B106,-6)</f>
        <v>29000000</v>
      </c>
      <c r="H106" s="47">
        <f>ROUNDDOWN(C106,-7)</f>
        <v>100000000</v>
      </c>
      <c r="I106" s="47">
        <f>ROUNDDOWN(D106,-5)</f>
        <v>74000000</v>
      </c>
      <c r="J106" s="47">
        <f>ROUNDDOWN(E106,-6)</f>
        <v>15000000</v>
      </c>
      <c r="K106" s="96">
        <f>ROUNDDOWN(F106,-7)</f>
        <v>180000000</v>
      </c>
      <c r="L106" t="s">
        <v>273</v>
      </c>
      <c r="M106" s="209"/>
    </row>
    <row r="107" spans="1:13" ht="15">
      <c r="A107" s="10" t="s">
        <v>274</v>
      </c>
      <c r="B107" s="55">
        <f>D43</f>
        <v>3603842.6779896053</v>
      </c>
      <c r="C107" s="52">
        <f>M43</f>
        <v>12584862.130365437</v>
      </c>
      <c r="D107" s="29">
        <f>D106/D65</f>
        <v>8948445.17206263</v>
      </c>
      <c r="E107" s="53">
        <f>E106/D65</f>
        <v>1890121.7959715794</v>
      </c>
      <c r="F107" s="193">
        <f>M58/D65</f>
        <v>22271485.50894251</v>
      </c>
      <c r="G107" s="29">
        <f>ROUNDDOWN(B107,-5)</f>
        <v>3600000</v>
      </c>
      <c r="H107" s="29">
        <f>ROUNDDOWN(C107,-6)</f>
        <v>12000000</v>
      </c>
      <c r="I107" s="29">
        <f>ROUNDDOWN(D107,-5)</f>
        <v>8900000</v>
      </c>
      <c r="J107" s="29">
        <f>ROUNDDOWN(E107,-5)</f>
        <v>1800000</v>
      </c>
      <c r="K107" s="85">
        <f>ROUNDDOWN(F107,-6)</f>
        <v>22000000</v>
      </c>
      <c r="L107" t="s">
        <v>274</v>
      </c>
      <c r="M107" s="209"/>
    </row>
    <row r="108" spans="1:13" ht="15">
      <c r="A108" s="10" t="s">
        <v>272</v>
      </c>
      <c r="B108" s="10" t="s">
        <v>270</v>
      </c>
      <c r="C108" s="10"/>
      <c r="D108" s="31">
        <f>(365/12)*(D106/(M21/7))</f>
        <v>49.99688431784965</v>
      </c>
      <c r="E108" s="42">
        <f>(365/12)*(E106/(M21/7))</f>
        <v>10.560516264308164</v>
      </c>
      <c r="F108" s="191"/>
      <c r="G108" s="10" t="s">
        <v>270</v>
      </c>
      <c r="I108" s="130">
        <f>ROUNDDOWN(D108,0)</f>
        <v>49</v>
      </c>
      <c r="J108" s="130">
        <f>ROUNDDOWN(E108,0)</f>
        <v>10</v>
      </c>
      <c r="L108" t="s">
        <v>272</v>
      </c>
      <c r="M108" s="209"/>
    </row>
    <row r="109" spans="1:13" ht="15">
      <c r="A109" s="10"/>
      <c r="B109" s="10"/>
      <c r="C109" s="10"/>
      <c r="D109" s="10"/>
      <c r="F109" s="191"/>
      <c r="L109"/>
      <c r="M109" s="209"/>
    </row>
    <row r="110" spans="1:13" ht="15">
      <c r="A110" s="10" t="s">
        <v>128</v>
      </c>
      <c r="B110" s="321" t="str">
        <f>'2004'!B112</f>
        <v>Jun-05</v>
      </c>
      <c r="C110" s="321" t="str">
        <f>'2004'!C112</f>
        <v>Jun-06</v>
      </c>
      <c r="D110" s="318" t="str">
        <f>'2004'!D112</f>
        <v>Jun-07</v>
      </c>
      <c r="E110" s="318" t="str">
        <f>'2004'!E112</f>
        <v>Total</v>
      </c>
      <c r="F110" s="322" t="str">
        <f>'2004'!F112</f>
        <v>Residual</v>
      </c>
      <c r="G110" s="319" t="str">
        <f>'2004'!G112</f>
        <v>Jun-05</v>
      </c>
      <c r="H110" s="323" t="str">
        <f>'2004'!H112</f>
        <v>Jun-06</v>
      </c>
      <c r="I110" s="320" t="str">
        <f>'2004'!I112</f>
        <v>Jun-07</v>
      </c>
      <c r="J110" s="320" t="str">
        <f>'2004'!J112</f>
        <v>END</v>
      </c>
      <c r="K110" s="320" t="str">
        <f>'2004'!K112</f>
        <v>Residual</v>
      </c>
      <c r="L110" t="s">
        <v>128</v>
      </c>
      <c r="M110" s="209"/>
    </row>
    <row r="111" spans="1:13" ht="15">
      <c r="A111" s="10" t="s">
        <v>130</v>
      </c>
      <c r="B111" s="184">
        <f>1%*'2004'!K$65*'2004'!M32</f>
        <v>135218.02843042472</v>
      </c>
      <c r="C111" s="183">
        <f>0.9%*'2005'!K$65*'2005'!M32</f>
        <v>228547.9236265283</v>
      </c>
      <c r="D111" s="43">
        <f>0.81%*'2006'!K$65*'2006'!M32</f>
        <v>356465.42089477304</v>
      </c>
      <c r="E111" s="43">
        <f>SUM(B111:D111)</f>
        <v>720231.372951726</v>
      </c>
      <c r="F111" s="230">
        <f>1%*(0.9)^3</f>
        <v>0.007290000000000001</v>
      </c>
      <c r="G111" s="197">
        <f>ROUNDDOWN(B111,-4)</f>
        <v>130000</v>
      </c>
      <c r="H111" s="197">
        <f>ROUNDDOWN(C111,-4)</f>
        <v>220000</v>
      </c>
      <c r="I111" s="51">
        <f>ROUNDDOWN(D111,-4)</f>
        <v>350000</v>
      </c>
      <c r="J111" s="51">
        <f>ROUNDDOWN(E111,-4)</f>
        <v>720000</v>
      </c>
      <c r="K111" s="172">
        <f>3*(J111/(1%-F111))*F111</f>
        <v>5810479.704797051</v>
      </c>
      <c r="L111" t="s">
        <v>130</v>
      </c>
      <c r="M111" s="209"/>
    </row>
    <row r="112" spans="1:13" ht="15">
      <c r="A112" s="10" t="s">
        <v>131</v>
      </c>
      <c r="B112" s="184">
        <f>1%*'2004'!K$65*'2004'!M33</f>
        <v>16340.547242347397</v>
      </c>
      <c r="C112" s="184">
        <f>0.9%*'2005'!K$65*'2005'!M33</f>
        <v>27619.08442616656</v>
      </c>
      <c r="D112" s="181">
        <f>0.81%*'2006'!K$65*'2006'!M33</f>
        <v>43077.39225314478</v>
      </c>
      <c r="E112" s="181">
        <f>SUM(B112:D112)</f>
        <v>87037.02392165874</v>
      </c>
      <c r="F112" s="230">
        <f>1%*(0.9)^3</f>
        <v>0.007290000000000001</v>
      </c>
      <c r="G112" s="198">
        <f>ROUNDDOWN(B112,-3)</f>
        <v>16000</v>
      </c>
      <c r="H112" s="198">
        <f>ROUNDDOWN(C112,-3)</f>
        <v>27000</v>
      </c>
      <c r="I112" s="53">
        <f>ROUNDDOWN(D112,-3)</f>
        <v>43000</v>
      </c>
      <c r="J112" s="53">
        <f>ROUNDDOWN(E112,-3)</f>
        <v>87000</v>
      </c>
      <c r="K112" s="181">
        <f>3*(J112/(1%-F112))*F112</f>
        <v>702099.6309963104</v>
      </c>
      <c r="L112" t="s">
        <v>131</v>
      </c>
      <c r="M112" s="209"/>
    </row>
    <row r="113" spans="1:13" ht="15">
      <c r="A113" s="10" t="s">
        <v>267</v>
      </c>
      <c r="B113" s="184">
        <f>B112*20</f>
        <v>326810.9448469479</v>
      </c>
      <c r="C113" s="184">
        <f>C112*20</f>
        <v>552381.6885233312</v>
      </c>
      <c r="D113" s="181">
        <f>D112*20</f>
        <v>861547.8450628957</v>
      </c>
      <c r="E113" s="181">
        <f>SUM(B113:D113)</f>
        <v>1740740.4784331748</v>
      </c>
      <c r="F113" s="232">
        <f>20%*(0.9)^3</f>
        <v>0.1458</v>
      </c>
      <c r="G113" s="198">
        <f>ROUNDDOWN(B113,-4)</f>
        <v>320000</v>
      </c>
      <c r="H113" s="198">
        <f>ROUNDDOWN(C113,-4)</f>
        <v>550000</v>
      </c>
      <c r="I113" s="53">
        <f>ROUNDDOWN(D113,-4)</f>
        <v>860000</v>
      </c>
      <c r="J113" s="53">
        <f>ROUNDDOWN(E113,-4)</f>
        <v>1740000</v>
      </c>
      <c r="K113" s="181">
        <f>3*(J113/(20%-F113))*F113</f>
        <v>14041992.619926201</v>
      </c>
      <c r="L113" t="s">
        <v>267</v>
      </c>
      <c r="M113" s="209"/>
    </row>
    <row r="114" spans="1:13" ht="15">
      <c r="A114" s="10" t="s">
        <v>269</v>
      </c>
      <c r="B114" s="185"/>
      <c r="C114" s="188">
        <f>(C111-B111)/B111</f>
        <v>0.690217837661534</v>
      </c>
      <c r="D114" s="25">
        <f>(D111-C111)/C111</f>
        <v>0.5596966064643649</v>
      </c>
      <c r="F114" s="191"/>
      <c r="G114" s="189"/>
      <c r="H114" s="199">
        <f>C111/$B111</f>
        <v>1.690217837661534</v>
      </c>
      <c r="I114" s="56">
        <f>D111/$B111</f>
        <v>2.6362270255862317</v>
      </c>
      <c r="J114" s="56">
        <f>E111/$B111</f>
        <v>5.326444863247765</v>
      </c>
      <c r="K114" s="54"/>
      <c r="L114" t="s">
        <v>269</v>
      </c>
      <c r="M114" s="209"/>
    </row>
    <row r="115" spans="1:13" ht="15">
      <c r="A115" s="10"/>
      <c r="B115" s="10"/>
      <c r="C115" s="10"/>
      <c r="D115" s="10"/>
      <c r="L115"/>
      <c r="M115" s="20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4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0.77734375" style="0" customWidth="1"/>
    <col min="2" max="2" width="8.77734375" style="0" customWidth="1"/>
    <col min="3" max="3" width="140.77734375" style="0" customWidth="1"/>
  </cols>
  <sheetData>
    <row r="1" spans="1:3" ht="15.75">
      <c r="A1" s="7" t="s">
        <v>283</v>
      </c>
      <c r="B1" s="1" t="s">
        <v>135</v>
      </c>
      <c r="C1" t="s">
        <v>136</v>
      </c>
    </row>
    <row r="2" spans="1:2" ht="15">
      <c r="A2" s="2"/>
      <c r="B2" s="1" t="s">
        <v>137</v>
      </c>
    </row>
    <row r="3" spans="1:3" ht="15">
      <c r="A3" s="1" t="s">
        <v>317</v>
      </c>
      <c r="B3" s="1"/>
      <c r="C3" t="s">
        <v>138</v>
      </c>
    </row>
    <row r="4" spans="1:2" ht="15">
      <c r="A4" s="1"/>
      <c r="B4" s="1"/>
    </row>
    <row r="5" spans="1:2" ht="15.75">
      <c r="A5" s="7" t="s">
        <v>211</v>
      </c>
      <c r="B5" s="1"/>
    </row>
    <row r="6" spans="1:3" s="46" customFormat="1" ht="15">
      <c r="A6" s="236" t="s">
        <v>13</v>
      </c>
      <c r="B6" s="73" t="s">
        <v>139</v>
      </c>
      <c r="C6" s="46" t="s">
        <v>227</v>
      </c>
    </row>
    <row r="7" spans="1:3" ht="15">
      <c r="A7" s="23" t="s">
        <v>214</v>
      </c>
      <c r="B7" s="1" t="s">
        <v>140</v>
      </c>
      <c r="C7" t="s">
        <v>228</v>
      </c>
    </row>
    <row r="8" spans="1:3" ht="15">
      <c r="A8" s="23" t="s">
        <v>213</v>
      </c>
      <c r="B8" s="1" t="s">
        <v>140</v>
      </c>
      <c r="C8" t="s">
        <v>229</v>
      </c>
    </row>
    <row r="9" spans="1:3" ht="15">
      <c r="A9" s="67" t="s">
        <v>193</v>
      </c>
      <c r="B9" s="1" t="s">
        <v>140</v>
      </c>
      <c r="C9" t="s">
        <v>231</v>
      </c>
    </row>
    <row r="10" spans="1:3" ht="15">
      <c r="A10" s="23" t="s">
        <v>230</v>
      </c>
      <c r="B10" s="1" t="s">
        <v>140</v>
      </c>
      <c r="C10" t="s">
        <v>232</v>
      </c>
    </row>
    <row r="11" spans="1:3" ht="15">
      <c r="A11" s="18" t="s">
        <v>237</v>
      </c>
      <c r="B11" s="1" t="s">
        <v>140</v>
      </c>
      <c r="C11" t="s">
        <v>233</v>
      </c>
    </row>
    <row r="12" spans="1:3" ht="15">
      <c r="A12" s="18" t="s">
        <v>192</v>
      </c>
      <c r="B12" s="1" t="s">
        <v>140</v>
      </c>
      <c r="C12" t="s">
        <v>234</v>
      </c>
    </row>
    <row r="13" spans="1:3" ht="15">
      <c r="A13" s="28" t="s">
        <v>190</v>
      </c>
      <c r="B13" s="1" t="s">
        <v>140</v>
      </c>
      <c r="C13" t="s">
        <v>235</v>
      </c>
    </row>
    <row r="14" spans="1:3" ht="15">
      <c r="A14" s="26" t="s">
        <v>191</v>
      </c>
      <c r="B14" s="1" t="s">
        <v>140</v>
      </c>
      <c r="C14" t="s">
        <v>236</v>
      </c>
    </row>
    <row r="15" spans="1:3" s="235" customFormat="1" ht="15.75">
      <c r="A15" s="9" t="s">
        <v>198</v>
      </c>
      <c r="B15" s="177" t="s">
        <v>139</v>
      </c>
      <c r="C15" s="235" t="s">
        <v>250</v>
      </c>
    </row>
    <row r="16" spans="1:3" ht="15">
      <c r="A16" s="12" t="s">
        <v>199</v>
      </c>
      <c r="B16" s="1" t="s">
        <v>140</v>
      </c>
      <c r="C16" t="s">
        <v>251</v>
      </c>
    </row>
    <row r="17" spans="1:3" ht="15">
      <c r="A17" s="12" t="s">
        <v>205</v>
      </c>
      <c r="B17" s="1" t="s">
        <v>140</v>
      </c>
      <c r="C17" t="s">
        <v>252</v>
      </c>
    </row>
    <row r="18" spans="1:2" ht="15">
      <c r="A18" s="1"/>
      <c r="B18" s="1"/>
    </row>
    <row r="19" ht="15.75">
      <c r="A19" s="7" t="s">
        <v>14</v>
      </c>
    </row>
    <row r="20" spans="1:3" ht="15">
      <c r="A20" s="4" t="s">
        <v>15</v>
      </c>
      <c r="B20" s="1" t="s">
        <v>140</v>
      </c>
      <c r="C20" t="s">
        <v>141</v>
      </c>
    </row>
    <row r="21" spans="1:3" ht="15">
      <c r="A21" s="4" t="s">
        <v>16</v>
      </c>
      <c r="B21" s="1" t="s">
        <v>140</v>
      </c>
      <c r="C21" t="s">
        <v>142</v>
      </c>
    </row>
    <row r="22" spans="1:3" ht="15">
      <c r="A22" s="4" t="s">
        <v>17</v>
      </c>
      <c r="B22" s="1" t="s">
        <v>140</v>
      </c>
      <c r="C22" t="s">
        <v>143</v>
      </c>
    </row>
    <row r="23" spans="1:3" ht="15">
      <c r="A23" s="4" t="s">
        <v>18</v>
      </c>
      <c r="B23" s="1" t="s">
        <v>140</v>
      </c>
      <c r="C23" t="s">
        <v>144</v>
      </c>
    </row>
    <row r="24" spans="1:3" ht="15">
      <c r="A24" s="2" t="s">
        <v>19</v>
      </c>
      <c r="B24" s="1" t="s">
        <v>140</v>
      </c>
      <c r="C24" t="s">
        <v>145</v>
      </c>
    </row>
    <row r="25" spans="1:3" ht="15">
      <c r="A25" s="2" t="s">
        <v>20</v>
      </c>
      <c r="B25" s="1" t="s">
        <v>140</v>
      </c>
      <c r="C25" t="s">
        <v>146</v>
      </c>
    </row>
    <row r="26" spans="1:3" ht="15">
      <c r="A26" s="2" t="s">
        <v>21</v>
      </c>
      <c r="B26" s="1" t="s">
        <v>140</v>
      </c>
      <c r="C26" t="s">
        <v>147</v>
      </c>
    </row>
    <row r="27" spans="1:3" ht="15">
      <c r="A27" s="2" t="s">
        <v>22</v>
      </c>
      <c r="B27" s="1" t="s">
        <v>140</v>
      </c>
      <c r="C27" t="s">
        <v>148</v>
      </c>
    </row>
    <row r="28" spans="1:3" ht="15">
      <c r="A28" s="2" t="s">
        <v>23</v>
      </c>
      <c r="B28" s="1" t="s">
        <v>140</v>
      </c>
      <c r="C28" t="s">
        <v>147</v>
      </c>
    </row>
    <row r="29" spans="1:3" ht="15">
      <c r="A29" s="12" t="s">
        <v>206</v>
      </c>
      <c r="B29" s="1" t="s">
        <v>140</v>
      </c>
      <c r="C29" t="s">
        <v>149</v>
      </c>
    </row>
    <row r="30" spans="1:3" ht="15">
      <c r="A30" s="2" t="s">
        <v>24</v>
      </c>
      <c r="B30" s="1" t="s">
        <v>140</v>
      </c>
      <c r="C30" t="s">
        <v>150</v>
      </c>
    </row>
    <row r="31" spans="1:3" ht="15">
      <c r="A31" s="2" t="s">
        <v>25</v>
      </c>
      <c r="B31" s="1" t="s">
        <v>140</v>
      </c>
      <c r="C31" t="s">
        <v>151</v>
      </c>
    </row>
    <row r="32" spans="1:3" ht="15">
      <c r="A32" s="2" t="s">
        <v>209</v>
      </c>
      <c r="B32" s="1" t="s">
        <v>140</v>
      </c>
      <c r="C32" t="s">
        <v>152</v>
      </c>
    </row>
    <row r="33" spans="1:3" ht="15">
      <c r="A33" s="2" t="s">
        <v>27</v>
      </c>
      <c r="B33" s="1" t="s">
        <v>140</v>
      </c>
      <c r="C33" t="s">
        <v>153</v>
      </c>
    </row>
    <row r="34" spans="1:3" ht="15">
      <c r="A34" s="2" t="s">
        <v>28</v>
      </c>
      <c r="B34" s="1" t="s">
        <v>140</v>
      </c>
      <c r="C34" t="s">
        <v>154</v>
      </c>
    </row>
    <row r="36" spans="1:2" ht="15.75">
      <c r="A36" s="13" t="s">
        <v>29</v>
      </c>
      <c r="B36" s="1"/>
    </row>
    <row r="37" spans="1:3" ht="15">
      <c r="A37" s="2" t="s">
        <v>30</v>
      </c>
      <c r="B37" s="1" t="s">
        <v>140</v>
      </c>
      <c r="C37" t="s">
        <v>155</v>
      </c>
    </row>
    <row r="38" spans="1:3" ht="15">
      <c r="A38" s="2" t="s">
        <v>31</v>
      </c>
      <c r="B38" s="1" t="s">
        <v>139</v>
      </c>
      <c r="C38" t="s">
        <v>156</v>
      </c>
    </row>
    <row r="39" spans="1:3" ht="15">
      <c r="A39" s="2" t="s">
        <v>33</v>
      </c>
      <c r="B39" s="1" t="s">
        <v>140</v>
      </c>
      <c r="C39" t="s">
        <v>157</v>
      </c>
    </row>
    <row r="40" spans="1:3" ht="15">
      <c r="A40" s="2" t="s">
        <v>34</v>
      </c>
      <c r="B40" s="1" t="s">
        <v>140</v>
      </c>
      <c r="C40" t="s">
        <v>158</v>
      </c>
    </row>
    <row r="41" spans="1:3" ht="15">
      <c r="A41" s="2" t="s">
        <v>35</v>
      </c>
      <c r="B41" s="1" t="s">
        <v>140</v>
      </c>
      <c r="C41" t="s">
        <v>159</v>
      </c>
    </row>
    <row r="42" spans="1:3" ht="15">
      <c r="A42" t="s">
        <v>36</v>
      </c>
      <c r="B42" s="1" t="s">
        <v>140</v>
      </c>
      <c r="C42" t="s">
        <v>160</v>
      </c>
    </row>
    <row r="43" spans="1:3" ht="15">
      <c r="A43" s="2" t="s">
        <v>37</v>
      </c>
      <c r="B43" s="1" t="s">
        <v>140</v>
      </c>
      <c r="C43" t="s">
        <v>161</v>
      </c>
    </row>
    <row r="45" spans="1:2" ht="15.75">
      <c r="A45" s="7" t="s">
        <v>38</v>
      </c>
      <c r="B45" s="1"/>
    </row>
    <row r="46" spans="1:3" ht="15">
      <c r="A46" s="36" t="s">
        <v>36</v>
      </c>
      <c r="B46" s="1" t="s">
        <v>140</v>
      </c>
      <c r="C46" t="s">
        <v>160</v>
      </c>
    </row>
    <row r="47" spans="1:3" ht="15">
      <c r="A47" t="s">
        <v>39</v>
      </c>
      <c r="B47" s="1" t="s">
        <v>140</v>
      </c>
      <c r="C47" t="s">
        <v>162</v>
      </c>
    </row>
    <row r="48" spans="1:3" ht="15">
      <c r="A48" s="2" t="s">
        <v>40</v>
      </c>
      <c r="B48" s="1" t="s">
        <v>140</v>
      </c>
      <c r="C48" t="s">
        <v>163</v>
      </c>
    </row>
    <row r="49" spans="1:3" ht="15">
      <c r="A49" s="36" t="s">
        <v>197</v>
      </c>
      <c r="B49" s="1" t="s">
        <v>140</v>
      </c>
      <c r="C49" t="s">
        <v>261</v>
      </c>
    </row>
    <row r="50" spans="1:3" ht="15">
      <c r="A50" s="70" t="s">
        <v>194</v>
      </c>
      <c r="B50" s="1" t="s">
        <v>140</v>
      </c>
      <c r="C50" t="s">
        <v>262</v>
      </c>
    </row>
    <row r="51" spans="1:3" ht="15">
      <c r="A51" s="37" t="s">
        <v>195</v>
      </c>
      <c r="B51" s="1" t="s">
        <v>140</v>
      </c>
      <c r="C51" t="s">
        <v>263</v>
      </c>
    </row>
    <row r="52" spans="1:3" ht="15">
      <c r="A52" s="2" t="s">
        <v>41</v>
      </c>
      <c r="B52" s="1" t="s">
        <v>139</v>
      </c>
      <c r="C52" t="s">
        <v>164</v>
      </c>
    </row>
    <row r="53" spans="1:3" ht="15">
      <c r="A53" s="15" t="s">
        <v>207</v>
      </c>
      <c r="B53" s="1" t="s">
        <v>140</v>
      </c>
      <c r="C53" t="s">
        <v>264</v>
      </c>
    </row>
    <row r="54" ht="15">
      <c r="A54" s="35" t="s">
        <v>185</v>
      </c>
    </row>
    <row r="55" spans="1:3" ht="15">
      <c r="A55" t="s">
        <v>42</v>
      </c>
      <c r="B55" s="1" t="s">
        <v>139</v>
      </c>
      <c r="C55" t="s">
        <v>165</v>
      </c>
    </row>
    <row r="56" spans="1:3" ht="15">
      <c r="A56" t="s">
        <v>43</v>
      </c>
      <c r="B56" s="1" t="s">
        <v>166</v>
      </c>
      <c r="C56" t="s">
        <v>167</v>
      </c>
    </row>
    <row r="57" spans="1:3" ht="15">
      <c r="A57" t="s">
        <v>44</v>
      </c>
      <c r="B57" s="1" t="s">
        <v>140</v>
      </c>
      <c r="C57" t="s">
        <v>168</v>
      </c>
    </row>
    <row r="58" spans="1:3" ht="15">
      <c r="A58" t="s">
        <v>45</v>
      </c>
      <c r="B58" s="1" t="s">
        <v>140</v>
      </c>
      <c r="C58" t="s">
        <v>169</v>
      </c>
    </row>
    <row r="59" ht="15">
      <c r="A59" s="35" t="s">
        <v>186</v>
      </c>
    </row>
    <row r="60" spans="1:3" ht="15">
      <c r="A60" t="s">
        <v>46</v>
      </c>
      <c r="B60" s="1" t="s">
        <v>140</v>
      </c>
      <c r="C60" t="s">
        <v>170</v>
      </c>
    </row>
    <row r="61" spans="1:3" ht="15">
      <c r="A61" s="2" t="s">
        <v>133</v>
      </c>
      <c r="B61" s="1" t="s">
        <v>140</v>
      </c>
      <c r="C61" t="s">
        <v>171</v>
      </c>
    </row>
    <row r="64" spans="1:2" ht="15">
      <c r="A64" s="1"/>
      <c r="B64" s="1"/>
    </row>
    <row r="65" spans="1:2" ht="15">
      <c r="A65" s="2"/>
      <c r="B65" s="1"/>
    </row>
    <row r="66" spans="1:2" ht="15">
      <c r="A66" s="2"/>
      <c r="B66" s="1"/>
    </row>
    <row r="67" spans="1:2" ht="15">
      <c r="A67" s="2"/>
      <c r="B67" s="1"/>
    </row>
    <row r="68" spans="1:2" ht="15">
      <c r="A68" s="2"/>
      <c r="B68" s="1"/>
    </row>
    <row r="69" spans="1:2" ht="15">
      <c r="A69" s="2"/>
      <c r="B69" s="1"/>
    </row>
    <row r="70" spans="1:2" ht="15">
      <c r="A70" s="2"/>
      <c r="B70" s="1"/>
    </row>
    <row r="71" spans="1:2" ht="15">
      <c r="A71" s="2"/>
      <c r="B71" s="1"/>
    </row>
    <row r="72" spans="1:2" ht="15">
      <c r="A72" s="4"/>
      <c r="B72" s="1"/>
    </row>
    <row r="73" spans="1:2" ht="15">
      <c r="A73" s="4"/>
      <c r="B73" s="1"/>
    </row>
    <row r="74" ht="15">
      <c r="B74" s="1"/>
    </row>
  </sheetData>
  <sheetProtection/>
  <printOptions/>
  <pageMargins left="0.25" right="0.25" top="1" bottom="1" header="0.25" footer="0.25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">
      <selection activeCell="L7" sqref="L7"/>
    </sheetView>
  </sheetViews>
  <sheetFormatPr defaultColWidth="8.88671875" defaultRowHeight="15"/>
  <cols>
    <col min="1" max="1" width="30.77734375" style="0" customWidth="1"/>
    <col min="2" max="2" width="2.77734375" style="0" customWidth="1"/>
    <col min="3" max="3" width="16.77734375" style="0" customWidth="1"/>
    <col min="4" max="4" width="2.77734375" style="0" customWidth="1"/>
    <col min="5" max="5" width="16.77734375" style="0" customWidth="1"/>
    <col min="6" max="6" width="8.77734375" style="0" customWidth="1"/>
    <col min="7" max="7" width="2.77734375" style="0" customWidth="1"/>
    <col min="8" max="8" width="16.77734375" style="0" customWidth="1"/>
    <col min="9" max="9" width="8.77734375" style="0" customWidth="1"/>
  </cols>
  <sheetData>
    <row r="1" spans="1:11" ht="15.75">
      <c r="A1" s="269" t="s">
        <v>280</v>
      </c>
      <c r="B1" s="269"/>
      <c r="C1" s="270">
        <v>1</v>
      </c>
      <c r="D1" s="271"/>
      <c r="E1" s="271"/>
      <c r="F1" s="271"/>
      <c r="G1" s="271"/>
      <c r="H1" s="272"/>
      <c r="I1" s="271"/>
      <c r="K1" s="8" t="s">
        <v>10</v>
      </c>
    </row>
    <row r="2" spans="1:9" ht="15">
      <c r="A2" s="273"/>
      <c r="B2" s="273"/>
      <c r="C2" s="271"/>
      <c r="D2" s="271"/>
      <c r="E2" s="271"/>
      <c r="F2" s="274"/>
      <c r="G2" s="271"/>
      <c r="H2" s="272"/>
      <c r="I2" s="271"/>
    </row>
    <row r="3" spans="1:9" s="171" customFormat="1" ht="15.75">
      <c r="A3" s="275" t="s">
        <v>172</v>
      </c>
      <c r="B3" s="275"/>
      <c r="C3" s="275">
        <v>2004</v>
      </c>
      <c r="D3" s="276"/>
      <c r="E3" s="275">
        <v>2005</v>
      </c>
      <c r="F3" s="275" t="s">
        <v>132</v>
      </c>
      <c r="G3" s="276"/>
      <c r="H3" s="275">
        <v>2006</v>
      </c>
      <c r="I3" s="275" t="s">
        <v>132</v>
      </c>
    </row>
    <row r="4" spans="1:9" ht="15">
      <c r="A4" s="274"/>
      <c r="B4" s="274"/>
      <c r="C4" s="274"/>
      <c r="D4" s="271"/>
      <c r="E4" s="274"/>
      <c r="F4" s="274"/>
      <c r="G4" s="271"/>
      <c r="H4" s="274"/>
      <c r="I4" s="274"/>
    </row>
    <row r="5" spans="1:9" ht="15">
      <c r="A5" s="271"/>
      <c r="B5" s="271"/>
      <c r="C5" s="271"/>
      <c r="D5" s="271"/>
      <c r="E5" s="271"/>
      <c r="F5" s="277"/>
      <c r="G5" s="271"/>
      <c r="H5" s="272"/>
      <c r="I5" s="277"/>
    </row>
    <row r="6" spans="1:9" s="18" customFormat="1" ht="15.75">
      <c r="A6" s="278" t="s">
        <v>173</v>
      </c>
      <c r="B6" s="278"/>
      <c r="C6" s="279"/>
      <c r="D6" s="279"/>
      <c r="E6" s="280"/>
      <c r="F6" s="281"/>
      <c r="G6" s="279"/>
      <c r="H6" s="282"/>
      <c r="I6" s="281"/>
    </row>
    <row r="7" spans="1:9" s="247" customFormat="1" ht="15.75">
      <c r="A7" s="283" t="s">
        <v>16</v>
      </c>
      <c r="B7" s="283"/>
      <c r="C7" s="280">
        <f>('2004'!M20)*C1</f>
        <v>11463805.196374621</v>
      </c>
      <c r="D7" s="279"/>
      <c r="E7" s="280">
        <f>('2005'!M20)*C1</f>
        <v>21868853.912743058</v>
      </c>
      <c r="F7" s="281">
        <f>(E7/C7)-1</f>
        <v>0.9076435387840496</v>
      </c>
      <c r="G7" s="279"/>
      <c r="H7" s="280">
        <f>('2006'!M20)*C1</f>
        <v>38107836.99585036</v>
      </c>
      <c r="I7" s="281">
        <f>(H7/E7)-1</f>
        <v>0.7425621455930431</v>
      </c>
    </row>
    <row r="8" spans="1:9" ht="15">
      <c r="A8" s="273" t="s">
        <v>20</v>
      </c>
      <c r="B8" s="273"/>
      <c r="C8" s="277">
        <f>'2004'!N25</f>
        <v>0.43143090568827624</v>
      </c>
      <c r="D8" s="271"/>
      <c r="E8" s="277">
        <f>'2005'!N25</f>
        <v>0.4683890181136655</v>
      </c>
      <c r="F8" s="277">
        <f>(E8/C8)-1</f>
        <v>0.08566403551092083</v>
      </c>
      <c r="G8" s="271"/>
      <c r="H8" s="277">
        <f>'2006'!N25</f>
        <v>0.46368859672267343</v>
      </c>
      <c r="I8" s="277">
        <f>(H8/E8)-1</f>
        <v>-0.010035293760562558</v>
      </c>
    </row>
    <row r="9" spans="1:9" s="247" customFormat="1" ht="15.75">
      <c r="A9" s="284" t="s">
        <v>174</v>
      </c>
      <c r="B9" s="284"/>
      <c r="C9" s="280">
        <f>('2004'!M33)*C1</f>
        <v>3268109.448469479</v>
      </c>
      <c r="D9" s="279"/>
      <c r="E9" s="280">
        <f>('2005'!M33)*C1</f>
        <v>6137574.316925901</v>
      </c>
      <c r="F9" s="281">
        <f>(E9/C9)-1</f>
        <v>0.8780198196239264</v>
      </c>
      <c r="G9" s="279"/>
      <c r="H9" s="280">
        <f>('2006'!M33)*C1</f>
        <v>10636393.148924636</v>
      </c>
      <c r="I9" s="281">
        <f>(H9/E9)-1</f>
        <v>0.7329962294048502</v>
      </c>
    </row>
    <row r="10" spans="1:9" ht="15">
      <c r="A10" s="273" t="s">
        <v>28</v>
      </c>
      <c r="B10" s="273"/>
      <c r="C10" s="277">
        <f>'2004'!N34</f>
        <v>0.2850806859054971</v>
      </c>
      <c r="D10" s="271"/>
      <c r="E10" s="277">
        <f>'2005'!N34</f>
        <v>0.2806536794938995</v>
      </c>
      <c r="F10" s="277">
        <f>(E10/C10)-1</f>
        <v>-0.015528959450676783</v>
      </c>
      <c r="G10" s="271"/>
      <c r="H10" s="277">
        <f>'2006'!N34</f>
        <v>0.27911301158559204</v>
      </c>
      <c r="I10" s="277">
        <f>(H10/E10)-1</f>
        <v>-0.005489569604381295</v>
      </c>
    </row>
    <row r="11" spans="1:9" ht="15">
      <c r="A11" s="273"/>
      <c r="B11" s="273"/>
      <c r="C11" s="271"/>
      <c r="D11" s="271"/>
      <c r="E11" s="271"/>
      <c r="F11" s="277"/>
      <c r="G11" s="271"/>
      <c r="H11" s="271"/>
      <c r="I11" s="277"/>
    </row>
    <row r="12" spans="1:9" ht="15">
      <c r="A12" s="273"/>
      <c r="B12" s="273"/>
      <c r="C12" s="271"/>
      <c r="D12" s="271"/>
      <c r="E12" s="271"/>
      <c r="F12" s="277"/>
      <c r="G12" s="271"/>
      <c r="H12" s="271"/>
      <c r="I12" s="277"/>
    </row>
    <row r="13" spans="1:9" s="18" customFormat="1" ht="15.75">
      <c r="A13" s="278" t="s">
        <v>175</v>
      </c>
      <c r="B13" s="278"/>
      <c r="C13" s="279"/>
      <c r="D13" s="279"/>
      <c r="E13" s="279"/>
      <c r="F13" s="281"/>
      <c r="G13" s="279"/>
      <c r="H13" s="279"/>
      <c r="I13" s="281"/>
    </row>
    <row r="14" spans="1:9" ht="15">
      <c r="A14" s="285" t="s">
        <v>223</v>
      </c>
      <c r="B14" s="285"/>
      <c r="C14" s="286"/>
      <c r="D14" s="286"/>
      <c r="E14" s="286"/>
      <c r="F14" s="287"/>
      <c r="G14" s="286"/>
      <c r="H14" s="286"/>
      <c r="I14" s="287"/>
    </row>
    <row r="15" spans="1:9" ht="15.75">
      <c r="A15" s="284" t="s">
        <v>292</v>
      </c>
      <c r="B15" s="273"/>
      <c r="C15" s="280">
        <f>('2004'!M43)*C1</f>
        <v>2031631.8693589456</v>
      </c>
      <c r="D15" s="271"/>
      <c r="E15" s="280">
        <f>C1*('2005'!M43)</f>
        <v>5808393.050347005</v>
      </c>
      <c r="F15" s="281">
        <f>(E15/C15)-1</f>
        <v>1.8589790985016226</v>
      </c>
      <c r="G15" s="271"/>
      <c r="H15" s="280">
        <f>C1*('2006'!M43)</f>
        <v>12584862.130365437</v>
      </c>
      <c r="I15" s="281">
        <f>(H15/E15)-1</f>
        <v>1.1666684780592789</v>
      </c>
    </row>
    <row r="16" spans="1:9" ht="15">
      <c r="A16" s="273" t="s">
        <v>176</v>
      </c>
      <c r="B16" s="273"/>
      <c r="C16" s="288">
        <f>(('2004'!M48)/('2004'!D65))*C1</f>
        <v>1931340.1812688825</v>
      </c>
      <c r="D16" s="271"/>
      <c r="E16" s="288">
        <f>C1*(('2005'!M48)/('2005'!D65))</f>
        <v>4227712.218829039</v>
      </c>
      <c r="F16" s="277">
        <f>(E16/C16)-1</f>
        <v>1.1890044332073333</v>
      </c>
      <c r="G16" s="271"/>
      <c r="H16" s="288">
        <f>C1*(('2006'!M48)/('2005'!D65))</f>
        <v>6779265.390626487</v>
      </c>
      <c r="I16" s="277">
        <f>(H16/E16)-1</f>
        <v>0.6035304769405898</v>
      </c>
    </row>
    <row r="17" spans="1:9" ht="15">
      <c r="A17" s="273" t="s">
        <v>222</v>
      </c>
      <c r="B17" s="273"/>
      <c r="C17" s="288">
        <f>('2004'!M49+'2004'!M50+'2004'!M51)/('2004'!D65)</f>
        <v>373305.9932166551</v>
      </c>
      <c r="D17" s="271"/>
      <c r="E17" s="288">
        <f>C1*(('2005'!M49+'2005'!M50+'2005'!M51)/('2005'!D65))</f>
        <v>1747929.9788857747</v>
      </c>
      <c r="F17" s="289" t="s">
        <v>224</v>
      </c>
      <c r="G17" s="271"/>
      <c r="H17" s="288">
        <f>C1*('2006'!M49+'2006'!M50+'2006'!M51)/('2005'!D65)</f>
        <v>2500208.0073425723</v>
      </c>
      <c r="I17" s="289" t="s">
        <v>224</v>
      </c>
    </row>
    <row r="18" spans="1:9" ht="15">
      <c r="A18" s="273" t="s">
        <v>177</v>
      </c>
      <c r="B18" s="273"/>
      <c r="C18" s="288">
        <f>(('2004'!M52)/('2004'!D65))*C1</f>
        <v>402819.7089596968</v>
      </c>
      <c r="D18" s="271"/>
      <c r="E18" s="288">
        <f>C1*(('2005'!M52)/('2005'!D65))</f>
        <v>859348.7455491566</v>
      </c>
      <c r="F18" s="277">
        <f>(E18/C18)-1</f>
        <v>1.1333334155085661</v>
      </c>
      <c r="G18" s="271"/>
      <c r="H18" s="288">
        <f>(('2006'!M52)/('2004'!D65))*C1</f>
        <v>832494.0963380121</v>
      </c>
      <c r="I18" s="277">
        <f>(H18/E18)-1</f>
        <v>-0.03125000106212206</v>
      </c>
    </row>
    <row r="19" spans="1:9" ht="15">
      <c r="A19" s="290" t="s">
        <v>178</v>
      </c>
      <c r="B19" s="290"/>
      <c r="C19" s="288">
        <f>SUM(C15:C18)</f>
        <v>4739097.75280418</v>
      </c>
      <c r="D19" s="272"/>
      <c r="E19" s="288">
        <f>SUM(E15:E18)</f>
        <v>12643383.993610976</v>
      </c>
      <c r="F19" s="277">
        <f>(E19/C19)-1</f>
        <v>1.6678884152853226</v>
      </c>
      <c r="G19" s="272"/>
      <c r="H19" s="288">
        <f>SUM(H15:H18)</f>
        <v>22696829.62467251</v>
      </c>
      <c r="I19" s="277">
        <f>(H19/E19)-1</f>
        <v>0.7951546544929582</v>
      </c>
    </row>
    <row r="20" spans="1:9" ht="15">
      <c r="A20" s="273" t="s">
        <v>179</v>
      </c>
      <c r="B20" s="273"/>
      <c r="C20" s="288"/>
      <c r="D20" s="272"/>
      <c r="E20" s="288"/>
      <c r="F20" s="277"/>
      <c r="G20" s="272"/>
      <c r="H20" s="288"/>
      <c r="I20" s="277"/>
    </row>
    <row r="21" spans="1:9" ht="15">
      <c r="A21" s="271" t="s">
        <v>180</v>
      </c>
      <c r="B21" s="271"/>
      <c r="C21" s="288">
        <f>C1*('2004'!M57)</f>
        <v>766909.6838602361</v>
      </c>
      <c r="D21" s="271"/>
      <c r="E21" s="288">
        <f>C1*('2005'!M57)</f>
        <v>655267.8820918438</v>
      </c>
      <c r="F21" s="277">
        <f>(E21/C21)-1</f>
        <v>-0.14557359767116762</v>
      </c>
      <c r="G21" s="271"/>
      <c r="H21" s="288">
        <f>C1*('2006'!M57)</f>
        <v>425344.11573</v>
      </c>
      <c r="I21" s="277">
        <f>(H21/E21)-1</f>
        <v>-0.3508851458244021</v>
      </c>
    </row>
    <row r="22" spans="1:9" s="247" customFormat="1" ht="15.75">
      <c r="A22" s="279" t="s">
        <v>290</v>
      </c>
      <c r="B22" s="279"/>
      <c r="C22" s="280">
        <f>C1*('2004'!M60)</f>
        <v>3972188.0689439448</v>
      </c>
      <c r="D22" s="279"/>
      <c r="E22" s="280">
        <f>C1*('2005'!M60)</f>
        <v>11988116.111519132</v>
      </c>
      <c r="F22" s="281">
        <f>(E22/C22)-1</f>
        <v>2.018013221792472</v>
      </c>
      <c r="G22" s="279"/>
      <c r="H22" s="280">
        <f>C1*('2006'!M60)</f>
        <v>19973616.33276056</v>
      </c>
      <c r="I22" s="281">
        <f>(H22/E22)-1</f>
        <v>0.6661180244632705</v>
      </c>
    </row>
    <row r="23" spans="1:9" ht="15">
      <c r="A23" s="290" t="s">
        <v>178</v>
      </c>
      <c r="B23" s="290"/>
      <c r="C23" s="288">
        <f>C1*('2004'!M59)/'2004'!D65</f>
        <v>4739097.752804181</v>
      </c>
      <c r="D23" s="272"/>
      <c r="E23" s="288">
        <f>C1*('2005'!M59)/'2005'!D65</f>
        <v>12643383.993610974</v>
      </c>
      <c r="F23" s="277">
        <f>(E23/C23)-1</f>
        <v>1.6678884152853217</v>
      </c>
      <c r="G23" s="272"/>
      <c r="H23" s="288">
        <f>C1*('2006'!M59)/'2006'!D65</f>
        <v>22696829.62467251</v>
      </c>
      <c r="I23" s="277">
        <f>(H23/E23)-1</f>
        <v>0.7951546544929584</v>
      </c>
    </row>
    <row r="24" spans="1:9" ht="15">
      <c r="A24" s="290"/>
      <c r="B24" s="290"/>
      <c r="C24" s="288"/>
      <c r="D24" s="272"/>
      <c r="E24" s="288"/>
      <c r="F24" s="277"/>
      <c r="G24" s="272"/>
      <c r="H24" s="288"/>
      <c r="I24" s="277"/>
    </row>
    <row r="25" spans="1:9" s="18" customFormat="1" ht="15.75">
      <c r="A25" s="278" t="s">
        <v>225</v>
      </c>
      <c r="B25" s="278"/>
      <c r="C25" s="291"/>
      <c r="D25" s="292"/>
      <c r="E25" s="291"/>
      <c r="F25" s="293"/>
      <c r="G25" s="292"/>
      <c r="H25" s="291"/>
      <c r="I25" s="293"/>
    </row>
    <row r="26" spans="1:9" ht="15">
      <c r="A26" s="294" t="s">
        <v>182</v>
      </c>
      <c r="B26" s="294"/>
      <c r="C26" s="272">
        <f>'2004'!K18</f>
        <v>26617</v>
      </c>
      <c r="D26" s="271"/>
      <c r="E26" s="272">
        <f>'2005'!K18</f>
        <v>51596.13280656878</v>
      </c>
      <c r="F26" s="277">
        <f>(E26/C26)-1</f>
        <v>0.9384653720016822</v>
      </c>
      <c r="G26" s="271"/>
      <c r="H26" s="272">
        <f>'2006'!M18</f>
        <v>90000</v>
      </c>
      <c r="I26" s="277">
        <f>(H26/E26)-1</f>
        <v>0.7443167753948794</v>
      </c>
    </row>
    <row r="27" spans="1:9" ht="15">
      <c r="A27" s="271" t="s">
        <v>181</v>
      </c>
      <c r="B27" s="271"/>
      <c r="C27" s="295">
        <f>(('2004'!M33)*15)*C1</f>
        <v>49021641.72704218</v>
      </c>
      <c r="D27" s="271"/>
      <c r="E27" s="295">
        <f>C1*(('2005'!M33)*15)</f>
        <v>92063614.75388852</v>
      </c>
      <c r="F27" s="277">
        <f>(E27/C27)-1</f>
        <v>0.8780198196239266</v>
      </c>
      <c r="G27" s="271"/>
      <c r="H27" s="295">
        <f>C1*(('2006'!M33)*15)</f>
        <v>159545897.23386952</v>
      </c>
      <c r="I27" s="277">
        <f>(H27/E27)-1</f>
        <v>0.73299622940485</v>
      </c>
    </row>
    <row r="28" spans="1:9" s="247" customFormat="1" ht="15.75">
      <c r="A28" s="279" t="s">
        <v>291</v>
      </c>
      <c r="B28" s="279"/>
      <c r="C28" s="280">
        <f>(('2004'!M33)*10)*C1</f>
        <v>32681094.48469479</v>
      </c>
      <c r="D28" s="279"/>
      <c r="E28" s="280">
        <f>C1*(('2005'!M33)*10)</f>
        <v>61375743.16925901</v>
      </c>
      <c r="F28" s="281">
        <f>(E28/C28)-1</f>
        <v>0.8780198196239266</v>
      </c>
      <c r="G28" s="279"/>
      <c r="H28" s="280">
        <f>C1*(('2006'!M33)*10)</f>
        <v>106363931.48924635</v>
      </c>
      <c r="I28" s="281">
        <f>(H28/E28)-1</f>
        <v>0.7329962294048502</v>
      </c>
    </row>
    <row r="29" spans="1:9" ht="15">
      <c r="A29" s="271" t="s">
        <v>255</v>
      </c>
      <c r="B29" s="271"/>
      <c r="C29" s="288">
        <f>C28/2</f>
        <v>16340547.242347395</v>
      </c>
      <c r="D29" s="271"/>
      <c r="E29" s="288">
        <f>E28/2</f>
        <v>30687871.584629506</v>
      </c>
      <c r="F29" s="277">
        <f>(E29/C29)-1</f>
        <v>0.8780198196239266</v>
      </c>
      <c r="G29" s="271"/>
      <c r="H29" s="288">
        <f>H28/2</f>
        <v>53181965.74462318</v>
      </c>
      <c r="I29" s="277">
        <f>(H29/E29)-1</f>
        <v>0.7329962294048502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="75" zoomScaleNormal="75" zoomScalePageLayoutView="0" workbookViewId="0" topLeftCell="A1">
      <selection activeCell="L2" sqref="L2:L3"/>
    </sheetView>
  </sheetViews>
  <sheetFormatPr defaultColWidth="8.88671875" defaultRowHeight="15"/>
  <cols>
    <col min="1" max="1" width="30.77734375" style="0" customWidth="1"/>
    <col min="2" max="2" width="2.77734375" style="0" customWidth="1"/>
    <col min="3" max="3" width="16.77734375" style="0" customWidth="1"/>
    <col min="4" max="4" width="2.77734375" style="0" customWidth="1"/>
    <col min="5" max="5" width="16.77734375" style="0" customWidth="1"/>
    <col min="6" max="6" width="8.77734375" style="0" customWidth="1"/>
    <col min="7" max="7" width="2.77734375" style="0" customWidth="1"/>
    <col min="8" max="8" width="16.77734375" style="0" customWidth="1"/>
    <col min="9" max="9" width="8.77734375" style="0" customWidth="1"/>
  </cols>
  <sheetData>
    <row r="1" spans="1:9" ht="15.75">
      <c r="A1" s="269" t="s">
        <v>281</v>
      </c>
      <c r="B1" s="269"/>
      <c r="C1" s="296">
        <v>8.275</v>
      </c>
      <c r="D1" s="271"/>
      <c r="E1" s="271"/>
      <c r="F1" s="271"/>
      <c r="G1" s="271"/>
      <c r="H1" s="272"/>
      <c r="I1" s="271"/>
    </row>
    <row r="2" spans="1:9" ht="15">
      <c r="A2" s="273"/>
      <c r="B2" s="273"/>
      <c r="C2" s="271"/>
      <c r="D2" s="271"/>
      <c r="E2" s="271"/>
      <c r="F2" s="274"/>
      <c r="G2" s="271"/>
      <c r="H2" s="272"/>
      <c r="I2" s="271"/>
    </row>
    <row r="3" spans="1:9" s="171" customFormat="1" ht="15.75">
      <c r="A3" s="275" t="s">
        <v>172</v>
      </c>
      <c r="B3" s="275"/>
      <c r="C3" s="275">
        <v>2004</v>
      </c>
      <c r="D3" s="276"/>
      <c r="E3" s="275">
        <v>2005</v>
      </c>
      <c r="F3" s="275" t="s">
        <v>132</v>
      </c>
      <c r="G3" s="276"/>
      <c r="H3" s="275">
        <v>2006</v>
      </c>
      <c r="I3" s="275" t="s">
        <v>132</v>
      </c>
    </row>
    <row r="4" spans="1:9" ht="15">
      <c r="A4" s="274"/>
      <c r="B4" s="274"/>
      <c r="C4" s="274"/>
      <c r="D4" s="271"/>
      <c r="E4" s="274"/>
      <c r="F4" s="274"/>
      <c r="G4" s="271"/>
      <c r="H4" s="274"/>
      <c r="I4" s="274"/>
    </row>
    <row r="5" spans="1:9" ht="15">
      <c r="A5" s="271"/>
      <c r="B5" s="271"/>
      <c r="C5" s="271"/>
      <c r="D5" s="271"/>
      <c r="E5" s="271"/>
      <c r="F5" s="277"/>
      <c r="G5" s="271"/>
      <c r="H5" s="272"/>
      <c r="I5" s="277"/>
    </row>
    <row r="6" spans="1:9" s="18" customFormat="1" ht="15.75">
      <c r="A6" s="278" t="s">
        <v>173</v>
      </c>
      <c r="B6" s="278"/>
      <c r="C6" s="279"/>
      <c r="D6" s="279"/>
      <c r="E6" s="280"/>
      <c r="F6" s="281"/>
      <c r="G6" s="279"/>
      <c r="H6" s="282"/>
      <c r="I6" s="281"/>
    </row>
    <row r="7" spans="1:9" ht="15.75">
      <c r="A7" s="283" t="s">
        <v>16</v>
      </c>
      <c r="B7" s="283"/>
      <c r="C7" s="297">
        <f>('2004'!M20)*C1</f>
        <v>94862988</v>
      </c>
      <c r="D7" s="271"/>
      <c r="E7" s="297">
        <f>('2005'!M20)*C1</f>
        <v>180964766.12794882</v>
      </c>
      <c r="F7" s="281">
        <f>(E7/C7)-1</f>
        <v>0.9076435387840496</v>
      </c>
      <c r="G7" s="271"/>
      <c r="H7" s="297">
        <f>('2006'!M20)*C1</f>
        <v>315342351.1406618</v>
      </c>
      <c r="I7" s="281">
        <f>(H7/E7)-1</f>
        <v>0.7425621455930433</v>
      </c>
    </row>
    <row r="8" spans="1:9" ht="15">
      <c r="A8" s="273" t="s">
        <v>20</v>
      </c>
      <c r="B8" s="273"/>
      <c r="C8" s="277">
        <f>'2004'!N25</f>
        <v>0.43143090568827624</v>
      </c>
      <c r="D8" s="271"/>
      <c r="E8" s="277">
        <f>'2005'!N25</f>
        <v>0.4683890181136655</v>
      </c>
      <c r="F8" s="277">
        <f>(E8/C8)-1</f>
        <v>0.08566403551092083</v>
      </c>
      <c r="G8" s="271"/>
      <c r="H8" s="277">
        <f>'2006'!N25</f>
        <v>0.46368859672267343</v>
      </c>
      <c r="I8" s="277">
        <f>(H8/E8)-1</f>
        <v>-0.010035293760562558</v>
      </c>
    </row>
    <row r="9" spans="1:9" ht="15.75">
      <c r="A9" s="284" t="s">
        <v>174</v>
      </c>
      <c r="B9" s="273"/>
      <c r="C9" s="297">
        <f>('2004'!M33)*C1</f>
        <v>27043605.68608494</v>
      </c>
      <c r="D9" s="271"/>
      <c r="E9" s="297">
        <f>('2005'!M33)*C1</f>
        <v>50788427.472561836</v>
      </c>
      <c r="F9" s="281">
        <f>(E9/C9)-1</f>
        <v>0.8780198196239266</v>
      </c>
      <c r="G9" s="271"/>
      <c r="H9" s="297">
        <f>('2006'!M33)*C1</f>
        <v>88016153.30735137</v>
      </c>
      <c r="I9" s="281">
        <f>(H9/E9)-1</f>
        <v>0.7329962294048502</v>
      </c>
    </row>
    <row r="10" spans="1:9" ht="15">
      <c r="A10" s="273" t="s">
        <v>28</v>
      </c>
      <c r="B10" s="273"/>
      <c r="C10" s="277">
        <f>'2004'!N34</f>
        <v>0.2850806859054971</v>
      </c>
      <c r="D10" s="271"/>
      <c r="E10" s="277">
        <f>'2005'!N34</f>
        <v>0.2806536794938995</v>
      </c>
      <c r="F10" s="277">
        <f>(E10/C10)-1</f>
        <v>-0.015528959450676783</v>
      </c>
      <c r="G10" s="271"/>
      <c r="H10" s="277">
        <f>'2006'!N34</f>
        <v>0.27911301158559204</v>
      </c>
      <c r="I10" s="277">
        <f>(H10/E10)-1</f>
        <v>-0.005489569604381295</v>
      </c>
    </row>
    <row r="11" spans="1:9" ht="15">
      <c r="A11" s="273"/>
      <c r="B11" s="273"/>
      <c r="C11" s="298"/>
      <c r="D11" s="271"/>
      <c r="E11" s="298"/>
      <c r="F11" s="277"/>
      <c r="G11" s="271"/>
      <c r="H11" s="298"/>
      <c r="I11" s="277"/>
    </row>
    <row r="12" spans="1:9" ht="15">
      <c r="A12" s="273"/>
      <c r="B12" s="273"/>
      <c r="C12" s="298"/>
      <c r="D12" s="271"/>
      <c r="E12" s="298"/>
      <c r="F12" s="277"/>
      <c r="G12" s="271"/>
      <c r="H12" s="298"/>
      <c r="I12" s="277"/>
    </row>
    <row r="13" spans="1:9" s="18" customFormat="1" ht="15.75">
      <c r="A13" s="278" t="s">
        <v>175</v>
      </c>
      <c r="B13" s="278"/>
      <c r="C13" s="297"/>
      <c r="D13" s="279"/>
      <c r="E13" s="297"/>
      <c r="F13" s="281"/>
      <c r="G13" s="279"/>
      <c r="H13" s="297"/>
      <c r="I13" s="281"/>
    </row>
    <row r="14" spans="1:9" ht="15">
      <c r="A14" s="285" t="s">
        <v>223</v>
      </c>
      <c r="B14" s="285"/>
      <c r="C14" s="299"/>
      <c r="D14" s="286"/>
      <c r="E14" s="299"/>
      <c r="F14" s="287"/>
      <c r="G14" s="286"/>
      <c r="H14" s="299"/>
      <c r="I14" s="287"/>
    </row>
    <row r="15" spans="1:9" ht="15.75">
      <c r="A15" s="284" t="s">
        <v>292</v>
      </c>
      <c r="B15" s="273"/>
      <c r="C15" s="297">
        <f>('2004'!M43)*C1</f>
        <v>16811753.718945276</v>
      </c>
      <c r="D15" s="271"/>
      <c r="E15" s="297">
        <f>C1*('2005'!M43)</f>
        <v>48064452.49162147</v>
      </c>
      <c r="F15" s="281">
        <f>(E15/C15)-1</f>
        <v>1.858979098501623</v>
      </c>
      <c r="G15" s="271"/>
      <c r="H15" s="297">
        <f>C1*('2006'!M43)</f>
        <v>104139734.128774</v>
      </c>
      <c r="I15" s="281">
        <f>(H15/E15)-1</f>
        <v>1.1666684780592789</v>
      </c>
    </row>
    <row r="16" spans="1:9" ht="15">
      <c r="A16" s="273" t="s">
        <v>176</v>
      </c>
      <c r="B16" s="273"/>
      <c r="C16" s="298">
        <f>(('2004'!M48)/('2004'!D65))*C1</f>
        <v>15981840.000000004</v>
      </c>
      <c r="D16" s="271"/>
      <c r="E16" s="298">
        <f>C1*(('2005'!M48)/('2005'!D65))</f>
        <v>34984318.610810295</v>
      </c>
      <c r="F16" s="277">
        <f>(E16/C16)-1</f>
        <v>1.1890044332073333</v>
      </c>
      <c r="G16" s="271"/>
      <c r="H16" s="298">
        <f>C1*(('2006'!M48)/('2005'!D65))</f>
        <v>56098421.10743418</v>
      </c>
      <c r="I16" s="277">
        <f>(H16/E16)-1</f>
        <v>0.6035304769405898</v>
      </c>
    </row>
    <row r="17" spans="1:9" ht="15">
      <c r="A17" s="273" t="s">
        <v>222</v>
      </c>
      <c r="B17" s="273"/>
      <c r="C17" s="298">
        <f>('2004'!M49+'2004'!M50+'2004'!M51)/('2004'!D65)</f>
        <v>373305.9932166551</v>
      </c>
      <c r="D17" s="271"/>
      <c r="E17" s="298">
        <f>C1*('2005'!M49+'2005'!M50+'2005'!M51)/('2005'!D65)</f>
        <v>14464120.575279787</v>
      </c>
      <c r="F17" s="289" t="s">
        <v>224</v>
      </c>
      <c r="G17" s="271"/>
      <c r="H17" s="298">
        <f>C1*('2006'!M49+'2006'!M50+'2006'!M51)/('2005'!D65)</f>
        <v>20689221.260759786</v>
      </c>
      <c r="I17" s="289" t="s">
        <v>224</v>
      </c>
    </row>
    <row r="18" spans="1:9" ht="15">
      <c r="A18" s="273" t="s">
        <v>177</v>
      </c>
      <c r="B18" s="273"/>
      <c r="C18" s="298">
        <f>(('2004'!M52)/('2004'!D65))*C1</f>
        <v>3333333.0916414913</v>
      </c>
      <c r="D18" s="271"/>
      <c r="E18" s="298">
        <f>(('2005'!M52)/('2004'!D65))*C1</f>
        <v>7111110.869419271</v>
      </c>
      <c r="F18" s="277">
        <f>(E18/C18)-1</f>
        <v>1.1333334155085661</v>
      </c>
      <c r="G18" s="271"/>
      <c r="H18" s="298">
        <f>(('2006'!M52)/('2004'!D65))*C1</f>
        <v>6888888.647197051</v>
      </c>
      <c r="I18" s="277">
        <f>(H18/E18)-1</f>
        <v>-0.03125000106212206</v>
      </c>
    </row>
    <row r="19" spans="1:9" ht="15">
      <c r="A19" s="290" t="s">
        <v>178</v>
      </c>
      <c r="B19" s="290"/>
      <c r="C19" s="298">
        <f>SUM(C15:C18)</f>
        <v>36500232.80380343</v>
      </c>
      <c r="D19" s="272"/>
      <c r="E19" s="298">
        <f>SUM(E15:E18)</f>
        <v>104624002.54713084</v>
      </c>
      <c r="F19" s="277">
        <f>(E19/C19)-1</f>
        <v>1.866392746301298</v>
      </c>
      <c r="G19" s="272"/>
      <c r="H19" s="298">
        <f>SUM(H15:H18)</f>
        <v>187816265.144165</v>
      </c>
      <c r="I19" s="277">
        <f>(H19/E19)-1</f>
        <v>0.795154654492958</v>
      </c>
    </row>
    <row r="20" spans="1:9" ht="15">
      <c r="A20" s="273" t="s">
        <v>179</v>
      </c>
      <c r="B20" s="273"/>
      <c r="C20" s="298"/>
      <c r="D20" s="272"/>
      <c r="E20" s="298"/>
      <c r="F20" s="277"/>
      <c r="G20" s="272"/>
      <c r="H20" s="298"/>
      <c r="I20" s="277"/>
    </row>
    <row r="21" spans="1:9" ht="15">
      <c r="A21" s="271" t="s">
        <v>180</v>
      </c>
      <c r="B21" s="271"/>
      <c r="C21" s="298">
        <f>('2004'!M57)*C1</f>
        <v>6346177.633943453</v>
      </c>
      <c r="D21" s="271"/>
      <c r="E21" s="298">
        <f>C1*('2005'!M57)</f>
        <v>5422341.724310007</v>
      </c>
      <c r="F21" s="277">
        <f>(E21/C21)-1</f>
        <v>-0.14557359767116762</v>
      </c>
      <c r="G21" s="271"/>
      <c r="H21" s="298">
        <f>C1*('2006'!M57)</f>
        <v>3519722.5576657504</v>
      </c>
      <c r="I21" s="277">
        <f>(H21/E21)-1</f>
        <v>-0.3508851458244021</v>
      </c>
    </row>
    <row r="22" spans="1:9" ht="15.75">
      <c r="A22" s="279" t="s">
        <v>290</v>
      </c>
      <c r="B22" s="271"/>
      <c r="C22" s="297">
        <f>('2004'!M60)*C1</f>
        <v>32869856.270511143</v>
      </c>
      <c r="D22" s="271"/>
      <c r="E22" s="297">
        <f>C1*('2005'!M60)</f>
        <v>99201660.82282083</v>
      </c>
      <c r="F22" s="281">
        <f>(E22/C22)-1</f>
        <v>2.0180132217924722</v>
      </c>
      <c r="G22" s="271"/>
      <c r="H22" s="297">
        <f>C1*('2006'!M60)</f>
        <v>165281675.15359366</v>
      </c>
      <c r="I22" s="281">
        <f>(H22/E22)-1</f>
        <v>0.6661180244632705</v>
      </c>
    </row>
    <row r="23" spans="1:9" ht="15">
      <c r="A23" s="290" t="s">
        <v>178</v>
      </c>
      <c r="B23" s="290"/>
      <c r="C23" s="298">
        <f>SUM(C21:C22)</f>
        <v>39216033.9044546</v>
      </c>
      <c r="D23" s="272"/>
      <c r="E23" s="298">
        <f>SUM(E21:E22)</f>
        <v>104624002.54713084</v>
      </c>
      <c r="F23" s="277">
        <f>(E23/C23)-1</f>
        <v>1.6678884152853222</v>
      </c>
      <c r="G23" s="272"/>
      <c r="H23" s="298">
        <f>SUM(H21:H22)</f>
        <v>168801397.71125942</v>
      </c>
      <c r="I23" s="277">
        <f>(H23/E23)-1</f>
        <v>0.6134098639097474</v>
      </c>
    </row>
    <row r="24" spans="1:9" ht="15">
      <c r="A24" s="290"/>
      <c r="B24" s="290"/>
      <c r="C24" s="298"/>
      <c r="D24" s="272"/>
      <c r="E24" s="298"/>
      <c r="F24" s="277"/>
      <c r="G24" s="272"/>
      <c r="H24" s="298"/>
      <c r="I24" s="277"/>
    </row>
    <row r="25" spans="1:9" s="18" customFormat="1" ht="15.75">
      <c r="A25" s="278" t="s">
        <v>225</v>
      </c>
      <c r="B25" s="278"/>
      <c r="C25" s="300"/>
      <c r="D25" s="292"/>
      <c r="E25" s="300"/>
      <c r="F25" s="293"/>
      <c r="G25" s="292"/>
      <c r="H25" s="300"/>
      <c r="I25" s="293"/>
    </row>
    <row r="26" spans="1:9" ht="15">
      <c r="A26" s="294" t="s">
        <v>182</v>
      </c>
      <c r="B26" s="294"/>
      <c r="C26" s="298">
        <f>'2004'!K18</f>
        <v>26617</v>
      </c>
      <c r="D26" s="271"/>
      <c r="E26" s="298">
        <f>'2005'!K18</f>
        <v>51596.13280656878</v>
      </c>
      <c r="F26" s="277">
        <f>(E26/C26)-1</f>
        <v>0.9384653720016822</v>
      </c>
      <c r="G26" s="271"/>
      <c r="H26" s="298">
        <f>'2006'!M18</f>
        <v>90000</v>
      </c>
      <c r="I26" s="277">
        <f>(H26/E26)-1</f>
        <v>0.7443167753948794</v>
      </c>
    </row>
    <row r="27" spans="1:9" ht="15">
      <c r="A27" s="271" t="s">
        <v>181</v>
      </c>
      <c r="B27" s="271"/>
      <c r="C27" s="301">
        <f>(('2004'!M33)*15)*C1</f>
        <v>405654085.2912741</v>
      </c>
      <c r="D27" s="271"/>
      <c r="E27" s="301">
        <f>C1*(('2005'!M33)*15)</f>
        <v>761826412.0884275</v>
      </c>
      <c r="F27" s="277">
        <f>(E27/C27)-1</f>
        <v>0.8780198196239268</v>
      </c>
      <c r="G27" s="271"/>
      <c r="H27" s="301">
        <f>C1*(('2006'!M33)*15)</f>
        <v>1320242299.6102703</v>
      </c>
      <c r="I27" s="277">
        <f>(H27/E27)-1</f>
        <v>0.7329962294048498</v>
      </c>
    </row>
    <row r="28" spans="1:9" ht="15.75">
      <c r="A28" s="279" t="s">
        <v>291</v>
      </c>
      <c r="B28" s="271"/>
      <c r="C28" s="297">
        <f>(('2004'!M33)*10)*C1</f>
        <v>270436056.8608494</v>
      </c>
      <c r="D28" s="271"/>
      <c r="E28" s="297">
        <f>C1*(('2005'!M33)*10)</f>
        <v>507884274.72561836</v>
      </c>
      <c r="F28" s="281">
        <f>(E28/C28)-1</f>
        <v>0.8780198196239268</v>
      </c>
      <c r="G28" s="271"/>
      <c r="H28" s="297">
        <f>C1*(('2006'!M33)*10)</f>
        <v>880161533.0735136</v>
      </c>
      <c r="I28" s="281">
        <f>(H28/E28)-1</f>
        <v>0.73299622940485</v>
      </c>
    </row>
    <row r="29" spans="1:9" ht="15">
      <c r="A29" s="271" t="s">
        <v>255</v>
      </c>
      <c r="B29" s="271"/>
      <c r="C29" s="298">
        <f>C28/2</f>
        <v>135218028.4304247</v>
      </c>
      <c r="D29" s="271"/>
      <c r="E29" s="298">
        <f>E28/2</f>
        <v>253942137.36280918</v>
      </c>
      <c r="F29" s="277">
        <f>(E29/C29)-1</f>
        <v>0.8780198196239268</v>
      </c>
      <c r="G29" s="271"/>
      <c r="H29" s="298">
        <f>H28/2</f>
        <v>440080766.5367568</v>
      </c>
      <c r="I29" s="277">
        <f>(H29/E29)-1</f>
        <v>0.73299622940485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75" zoomScaleNormal="75" zoomScalePageLayoutView="0" workbookViewId="0" topLeftCell="A1">
      <selection activeCell="J36" sqref="J36"/>
    </sheetView>
  </sheetViews>
  <sheetFormatPr defaultColWidth="8.88671875" defaultRowHeight="15"/>
  <cols>
    <col min="1" max="1" width="30.77734375" style="0" customWidth="1"/>
    <col min="2" max="2" width="2.77734375" style="0" customWidth="1"/>
    <col min="3" max="3" width="16.77734375" style="0" customWidth="1"/>
    <col min="4" max="4" width="2.77734375" style="0" customWidth="1"/>
    <col min="5" max="5" width="16.77734375" style="0" customWidth="1"/>
    <col min="6" max="6" width="8.77734375" style="0" customWidth="1"/>
    <col min="7" max="7" width="2.77734375" style="0" customWidth="1"/>
    <col min="8" max="8" width="16.77734375" style="0" customWidth="1"/>
    <col min="9" max="9" width="8.77734375" style="0" customWidth="1"/>
  </cols>
  <sheetData>
    <row r="1" spans="1:9" s="18" customFormat="1" ht="15.75">
      <c r="A1" s="269" t="s">
        <v>226</v>
      </c>
      <c r="B1" s="269"/>
      <c r="C1" s="296">
        <v>7.78</v>
      </c>
      <c r="D1" s="292"/>
      <c r="E1" s="292"/>
      <c r="F1" s="292"/>
      <c r="G1" s="292"/>
      <c r="H1" s="302"/>
      <c r="I1" s="292"/>
    </row>
    <row r="2" spans="1:9" ht="15">
      <c r="A2" s="273"/>
      <c r="B2" s="273"/>
      <c r="C2" s="271"/>
      <c r="D2" s="271"/>
      <c r="E2" s="271"/>
      <c r="F2" s="274"/>
      <c r="G2" s="271"/>
      <c r="H2" s="272"/>
      <c r="I2" s="271"/>
    </row>
    <row r="3" spans="1:9" s="171" customFormat="1" ht="15.75">
      <c r="A3" s="275" t="s">
        <v>172</v>
      </c>
      <c r="B3" s="275"/>
      <c r="C3" s="275">
        <v>2004</v>
      </c>
      <c r="D3" s="276"/>
      <c r="E3" s="275">
        <v>2005</v>
      </c>
      <c r="F3" s="275" t="s">
        <v>132</v>
      </c>
      <c r="G3" s="276"/>
      <c r="H3" s="275">
        <v>2006</v>
      </c>
      <c r="I3" s="275" t="s">
        <v>132</v>
      </c>
    </row>
    <row r="4" spans="1:9" ht="15">
      <c r="A4" s="274"/>
      <c r="B4" s="274"/>
      <c r="C4" s="274"/>
      <c r="D4" s="271"/>
      <c r="E4" s="274"/>
      <c r="F4" s="274"/>
      <c r="G4" s="271"/>
      <c r="H4" s="274"/>
      <c r="I4" s="274"/>
    </row>
    <row r="5" spans="1:9" ht="15">
      <c r="A5" s="271"/>
      <c r="B5" s="271"/>
      <c r="C5" s="271"/>
      <c r="D5" s="271"/>
      <c r="E5" s="271"/>
      <c r="F5" s="277"/>
      <c r="G5" s="271"/>
      <c r="H5" s="272"/>
      <c r="I5" s="277"/>
    </row>
    <row r="6" spans="1:9" s="18" customFormat="1" ht="15.75">
      <c r="A6" s="278" t="s">
        <v>173</v>
      </c>
      <c r="B6" s="278"/>
      <c r="C6" s="279"/>
      <c r="D6" s="279"/>
      <c r="E6" s="280"/>
      <c r="F6" s="281"/>
      <c r="G6" s="279"/>
      <c r="H6" s="282"/>
      <c r="I6" s="281"/>
    </row>
    <row r="7" spans="1:9" ht="15.75">
      <c r="A7" s="283" t="s">
        <v>16</v>
      </c>
      <c r="B7" s="283"/>
      <c r="C7" s="297">
        <f>('2004'!M20)*C1</f>
        <v>89188404.42779456</v>
      </c>
      <c r="D7" s="271"/>
      <c r="E7" s="297">
        <f>('2005'!M20)*C1</f>
        <v>170139683.441141</v>
      </c>
      <c r="F7" s="281">
        <f>(E7/C7)-1</f>
        <v>0.9076435387840496</v>
      </c>
      <c r="G7" s="271"/>
      <c r="H7" s="297">
        <f>('2006'!M20)*C1</f>
        <v>296478971.8277158</v>
      </c>
      <c r="I7" s="281">
        <f>(H7/E7)-1</f>
        <v>0.7425621455930431</v>
      </c>
    </row>
    <row r="8" spans="1:9" ht="15">
      <c r="A8" s="273" t="s">
        <v>20</v>
      </c>
      <c r="B8" s="273"/>
      <c r="C8" s="277">
        <f>'2004'!N25</f>
        <v>0.43143090568827624</v>
      </c>
      <c r="D8" s="271"/>
      <c r="E8" s="277">
        <f>'2005'!N25</f>
        <v>0.4683890181136655</v>
      </c>
      <c r="F8" s="277">
        <f>(E8/C8)-1</f>
        <v>0.08566403551092083</v>
      </c>
      <c r="G8" s="271"/>
      <c r="H8" s="277">
        <f>'2006'!N25</f>
        <v>0.46368859672267343</v>
      </c>
      <c r="I8" s="277">
        <f>(H8/E8)-1</f>
        <v>-0.010035293760562558</v>
      </c>
    </row>
    <row r="9" spans="1:9" ht="15.75">
      <c r="A9" s="284" t="s">
        <v>174</v>
      </c>
      <c r="B9" s="273"/>
      <c r="C9" s="297">
        <f>('2004'!M33)*C1</f>
        <v>25425891.509092547</v>
      </c>
      <c r="D9" s="271"/>
      <c r="E9" s="297">
        <f>('2005'!M33)*C1</f>
        <v>47750328.18568351</v>
      </c>
      <c r="F9" s="281">
        <f>(E9/C9)-1</f>
        <v>0.8780198196239266</v>
      </c>
      <c r="G9" s="271"/>
      <c r="H9" s="297">
        <f>('2006'!M33)*C1</f>
        <v>82751138.69863367</v>
      </c>
      <c r="I9" s="281">
        <f>(H9/E9)-1</f>
        <v>0.7329962294048502</v>
      </c>
    </row>
    <row r="10" spans="1:9" ht="15">
      <c r="A10" s="273" t="s">
        <v>28</v>
      </c>
      <c r="B10" s="273"/>
      <c r="C10" s="277">
        <f>'2004'!N34</f>
        <v>0.2850806859054971</v>
      </c>
      <c r="D10" s="271"/>
      <c r="E10" s="277">
        <f>'2005'!N34</f>
        <v>0.2806536794938995</v>
      </c>
      <c r="F10" s="277">
        <f>(E10/C10)-1</f>
        <v>-0.015528959450676783</v>
      </c>
      <c r="G10" s="271"/>
      <c r="H10" s="277">
        <f>'2006'!N34</f>
        <v>0.27911301158559204</v>
      </c>
      <c r="I10" s="277">
        <f>(H10/E10)-1</f>
        <v>-0.005489569604381295</v>
      </c>
    </row>
    <row r="11" spans="1:9" ht="15">
      <c r="A11" s="273"/>
      <c r="B11" s="273"/>
      <c r="C11" s="298"/>
      <c r="D11" s="271"/>
      <c r="E11" s="298"/>
      <c r="F11" s="277"/>
      <c r="G11" s="271"/>
      <c r="H11" s="298"/>
      <c r="I11" s="277"/>
    </row>
    <row r="12" spans="1:9" ht="15">
      <c r="A12" s="273"/>
      <c r="B12" s="273"/>
      <c r="C12" s="298"/>
      <c r="D12" s="271"/>
      <c r="E12" s="298"/>
      <c r="F12" s="277"/>
      <c r="G12" s="271"/>
      <c r="H12" s="298"/>
      <c r="I12" s="277"/>
    </row>
    <row r="13" spans="1:9" s="18" customFormat="1" ht="15.75">
      <c r="A13" s="278" t="s">
        <v>175</v>
      </c>
      <c r="B13" s="278"/>
      <c r="C13" s="297"/>
      <c r="D13" s="279"/>
      <c r="E13" s="297"/>
      <c r="F13" s="281"/>
      <c r="G13" s="279"/>
      <c r="H13" s="297"/>
      <c r="I13" s="281"/>
    </row>
    <row r="14" spans="1:9" ht="15">
      <c r="A14" s="285" t="s">
        <v>223</v>
      </c>
      <c r="B14" s="285"/>
      <c r="C14" s="299"/>
      <c r="D14" s="286"/>
      <c r="E14" s="299"/>
      <c r="F14" s="287"/>
      <c r="G14" s="286"/>
      <c r="H14" s="299"/>
      <c r="I14" s="287"/>
    </row>
    <row r="15" spans="1:9" ht="15.75">
      <c r="A15" s="284" t="s">
        <v>292</v>
      </c>
      <c r="B15" s="273"/>
      <c r="C15" s="297">
        <f>('2004'!M43)*C1</f>
        <v>15806095.943612598</v>
      </c>
      <c r="D15" s="271"/>
      <c r="E15" s="297">
        <f>C1*('2005'!M43)</f>
        <v>45189297.9316997</v>
      </c>
      <c r="F15" s="281">
        <f>(E15/C15)-1</f>
        <v>1.8589790985016226</v>
      </c>
      <c r="G15" s="271"/>
      <c r="H15" s="297">
        <f>C1*('2006'!M43)</f>
        <v>97910227.3742431</v>
      </c>
      <c r="I15" s="281">
        <f>(H15/E15)-1</f>
        <v>1.1666684780592784</v>
      </c>
    </row>
    <row r="16" spans="1:9" ht="15">
      <c r="A16" s="273" t="s">
        <v>176</v>
      </c>
      <c r="B16" s="273"/>
      <c r="C16" s="298">
        <f>(('2004'!M48)/('2004'!D65))*C1</f>
        <v>15025826.610271906</v>
      </c>
      <c r="D16" s="271"/>
      <c r="E16" s="298">
        <f>C1*(('2005'!M48)/('2005'!D65))</f>
        <v>32891601.06248992</v>
      </c>
      <c r="F16" s="277">
        <f>(E16/C16)-1</f>
        <v>1.1890044332073333</v>
      </c>
      <c r="G16" s="271"/>
      <c r="H16" s="298">
        <f>C1*(('2006'!M48)/('2005'!D65))</f>
        <v>52742684.739074074</v>
      </c>
      <c r="I16" s="277">
        <f>(H16/E16)-1</f>
        <v>0.6035304769405898</v>
      </c>
    </row>
    <row r="17" spans="1:9" ht="15">
      <c r="A17" s="273" t="s">
        <v>222</v>
      </c>
      <c r="B17" s="273"/>
      <c r="C17" s="298">
        <f>('2004'!M49+'2004'!M50+'2004'!M51)/('2004'!D65)</f>
        <v>373305.9932166551</v>
      </c>
      <c r="D17" s="271"/>
      <c r="E17" s="298">
        <f>C1*('2005'!M49+'2005'!M50+'2005'!M51)/('2005'!D65)</f>
        <v>13598895.23573133</v>
      </c>
      <c r="F17" s="289" t="s">
        <v>224</v>
      </c>
      <c r="G17" s="271"/>
      <c r="H17" s="298">
        <f>C1*('2006'!M49+'2006'!M50+'2006'!M51)/('2005'!D65)</f>
        <v>19451618.297125213</v>
      </c>
      <c r="I17" s="289" t="s">
        <v>224</v>
      </c>
    </row>
    <row r="18" spans="1:9" ht="15">
      <c r="A18" s="273" t="s">
        <v>177</v>
      </c>
      <c r="B18" s="273"/>
      <c r="C18" s="298">
        <f>(('2004'!M52)/('2004'!D65))*C1</f>
        <v>3133937.335706441</v>
      </c>
      <c r="D18" s="271"/>
      <c r="E18" s="298">
        <f>(('2005'!M52)/('2004'!D65))*C1</f>
        <v>6685733.240372438</v>
      </c>
      <c r="F18" s="277">
        <f>(E18/C18)-1</f>
        <v>1.1333334155085661</v>
      </c>
      <c r="G18" s="271"/>
      <c r="H18" s="298">
        <f>(('2006'!M52)/('2004'!D65))*C1</f>
        <v>6476804.069509734</v>
      </c>
      <c r="I18" s="277">
        <f>(H18/E18)-1</f>
        <v>-0.03125000106212206</v>
      </c>
    </row>
    <row r="19" spans="1:9" ht="15">
      <c r="A19" s="290" t="s">
        <v>178</v>
      </c>
      <c r="B19" s="290"/>
      <c r="C19" s="298">
        <f>SUM(C15:C18)</f>
        <v>34339165.882807605</v>
      </c>
      <c r="D19" s="272"/>
      <c r="E19" s="298">
        <f>SUM(E15:E18)</f>
        <v>98365527.47029339</v>
      </c>
      <c r="F19" s="277">
        <f>(E19/C19)-1</f>
        <v>1.8645287368363683</v>
      </c>
      <c r="G19" s="272"/>
      <c r="H19" s="298">
        <f>SUM(H15:H18)</f>
        <v>176581334.47995213</v>
      </c>
      <c r="I19" s="277">
        <f>(H19/E19)-1</f>
        <v>0.7951546544929584</v>
      </c>
    </row>
    <row r="20" spans="1:9" ht="15">
      <c r="A20" s="273" t="s">
        <v>179</v>
      </c>
      <c r="B20" s="273"/>
      <c r="C20" s="298"/>
      <c r="D20" s="272"/>
      <c r="E20" s="298"/>
      <c r="F20" s="277"/>
      <c r="G20" s="272"/>
      <c r="H20" s="298"/>
      <c r="I20" s="277"/>
    </row>
    <row r="21" spans="1:9" ht="15">
      <c r="A21" s="271" t="s">
        <v>180</v>
      </c>
      <c r="B21" s="271"/>
      <c r="C21" s="298">
        <f>('2004'!M57)*C1</f>
        <v>5966557.340432636</v>
      </c>
      <c r="D21" s="271"/>
      <c r="E21" s="298">
        <f>C1*('2005'!M57)</f>
        <v>5097984.122674544</v>
      </c>
      <c r="F21" s="277">
        <f>(E21/C21)-1</f>
        <v>-0.1455735976711675</v>
      </c>
      <c r="G21" s="271"/>
      <c r="H21" s="298">
        <f>C1*('2006'!M57)</f>
        <v>3309177.2203794</v>
      </c>
      <c r="I21" s="277">
        <f>(H21/E21)-1</f>
        <v>-0.3508851458244021</v>
      </c>
    </row>
    <row r="22" spans="1:9" ht="15.75">
      <c r="A22" s="279" t="s">
        <v>290</v>
      </c>
      <c r="B22" s="271"/>
      <c r="C22" s="297">
        <f>('2004'!M60)*C1</f>
        <v>30903623.17638389</v>
      </c>
      <c r="D22" s="271"/>
      <c r="E22" s="297">
        <f>C1*('2005'!M60)</f>
        <v>93267543.34761885</v>
      </c>
      <c r="F22" s="281">
        <f>(E22/C22)-1</f>
        <v>2.018013221792472</v>
      </c>
      <c r="G22" s="271"/>
      <c r="H22" s="297">
        <f>C1*('2006'!M60)</f>
        <v>155394735.06887716</v>
      </c>
      <c r="I22" s="281">
        <f>(H22/E22)-1</f>
        <v>0.6661180244632705</v>
      </c>
    </row>
    <row r="23" spans="1:9" ht="15">
      <c r="A23" s="290" t="s">
        <v>178</v>
      </c>
      <c r="B23" s="290"/>
      <c r="C23" s="298">
        <f>SUM(C21:C22)</f>
        <v>36870180.51681653</v>
      </c>
      <c r="D23" s="272"/>
      <c r="E23" s="298">
        <f>SUM(E21:E22)</f>
        <v>98365527.47029339</v>
      </c>
      <c r="F23" s="277">
        <f>(E23/C23)-1</f>
        <v>1.6678884152853217</v>
      </c>
      <c r="G23" s="272"/>
      <c r="H23" s="298">
        <f>SUM(H21:H22)</f>
        <v>158703912.28925657</v>
      </c>
      <c r="I23" s="277">
        <f>(H23/E23)-1</f>
        <v>0.6134098639097474</v>
      </c>
    </row>
    <row r="24" spans="1:9" ht="15">
      <c r="A24" s="290"/>
      <c r="B24" s="290"/>
      <c r="C24" s="298"/>
      <c r="D24" s="272"/>
      <c r="E24" s="298"/>
      <c r="F24" s="277"/>
      <c r="G24" s="272"/>
      <c r="H24" s="298"/>
      <c r="I24" s="277"/>
    </row>
    <row r="25" spans="1:9" s="18" customFormat="1" ht="15.75">
      <c r="A25" s="278" t="s">
        <v>225</v>
      </c>
      <c r="B25" s="278"/>
      <c r="C25" s="300"/>
      <c r="D25" s="292"/>
      <c r="E25" s="300"/>
      <c r="F25" s="293"/>
      <c r="G25" s="292"/>
      <c r="H25" s="300"/>
      <c r="I25" s="293"/>
    </row>
    <row r="26" spans="1:9" ht="15">
      <c r="A26" s="294" t="s">
        <v>182</v>
      </c>
      <c r="B26" s="294"/>
      <c r="C26" s="298">
        <f>'2004'!K18</f>
        <v>26617</v>
      </c>
      <c r="D26" s="271"/>
      <c r="E26" s="298">
        <f>'2005'!K18</f>
        <v>51596.13280656878</v>
      </c>
      <c r="F26" s="277">
        <f>(E26/C26)-1</f>
        <v>0.9384653720016822</v>
      </c>
      <c r="G26" s="271"/>
      <c r="H26" s="298">
        <f>'2006'!M18</f>
        <v>90000</v>
      </c>
      <c r="I26" s="277">
        <f>(H26/E26)-1</f>
        <v>0.7443167753948794</v>
      </c>
    </row>
    <row r="27" spans="1:9" ht="15">
      <c r="A27" s="271" t="s">
        <v>181</v>
      </c>
      <c r="B27" s="271"/>
      <c r="C27" s="301">
        <f>(('2004'!M33)*15)*C1</f>
        <v>381388372.6363882</v>
      </c>
      <c r="D27" s="271"/>
      <c r="E27" s="301">
        <f>C1*(('2005'!M33)*15)</f>
        <v>716254922.7852527</v>
      </c>
      <c r="F27" s="277">
        <f>(E27/C27)-1</f>
        <v>0.8780198196239268</v>
      </c>
      <c r="G27" s="271"/>
      <c r="H27" s="301">
        <f>C1*(('2006'!M33)*15)</f>
        <v>1241267080.4795048</v>
      </c>
      <c r="I27" s="277">
        <f>(H27/E27)-1</f>
        <v>0.73299622940485</v>
      </c>
    </row>
    <row r="28" spans="1:9" ht="15.75">
      <c r="A28" s="279" t="s">
        <v>291</v>
      </c>
      <c r="B28" s="271"/>
      <c r="C28" s="297">
        <f>(('2004'!M33)*10)*C1</f>
        <v>254258915.09092548</v>
      </c>
      <c r="D28" s="271"/>
      <c r="E28" s="297">
        <f>C1*(('2005'!M33)*10)</f>
        <v>477503281.8568351</v>
      </c>
      <c r="F28" s="281">
        <f>(E28/C28)-1</f>
        <v>0.8780198196239266</v>
      </c>
      <c r="G28" s="271"/>
      <c r="H28" s="297">
        <f>C1*(('2006'!M33)*10)</f>
        <v>827511386.9863367</v>
      </c>
      <c r="I28" s="281">
        <f>(H28/E28)-1</f>
        <v>0.7329962294048502</v>
      </c>
    </row>
    <row r="29" spans="1:9" ht="15">
      <c r="A29" s="271" t="s">
        <v>255</v>
      </c>
      <c r="B29" s="271"/>
      <c r="C29" s="298">
        <f>C28/2</f>
        <v>127129457.54546274</v>
      </c>
      <c r="D29" s="271"/>
      <c r="E29" s="298">
        <f>E28/2</f>
        <v>238751640.92841756</v>
      </c>
      <c r="F29" s="277">
        <f>(E29/C29)-1</f>
        <v>0.8780198196239266</v>
      </c>
      <c r="G29" s="271"/>
      <c r="H29" s="298">
        <f>H28/2</f>
        <v>413755693.49316835</v>
      </c>
      <c r="I29" s="277">
        <f>(H29/E29)-1</f>
        <v>0.7329962294048502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 Earth Appliances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Solar Proforma Model</dc:title>
  <dc:subject>Years 2001 thru 2003</dc:subject>
  <dc:creator>Jim Cook</dc:creator>
  <cp:keywords/>
  <dc:description/>
  <cp:lastModifiedBy>JCook</cp:lastModifiedBy>
  <cp:lastPrinted>2001-05-01T14:47:57Z</cp:lastPrinted>
  <dcterms:created xsi:type="dcterms:W3CDTF">2001-03-04T20:41:08Z</dcterms:created>
  <dcterms:modified xsi:type="dcterms:W3CDTF">2008-01-20T07:48:26Z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or">
    <vt:lpwstr>Jim Cook</vt:lpwstr>
  </property>
  <property fmtid="{D5CDD505-2E9C-101B-9397-08002B2CF9AE}" pid="3" name="Owner">
    <vt:lpwstr>James Cook</vt:lpwstr>
  </property>
  <property fmtid="{D5CDD505-2E9C-101B-9397-08002B2CF9AE}" pid="4" name="Telephone number">
    <vt:lpwstr>+8610 8365 6235</vt:lpwstr>
  </property>
</Properties>
</file>